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saMorales\Downloads\"/>
    </mc:Choice>
  </mc:AlternateContent>
  <xr:revisionPtr revIDLastSave="0" documentId="13_ncr:1_{069C80CA-2990-4FB5-80BF-FF4709E0E932}" xr6:coauthVersionLast="47" xr6:coauthVersionMax="47" xr10:uidLastSave="{00000000-0000-0000-0000-000000000000}"/>
  <bookViews>
    <workbookView xWindow="-120" yWindow="-120" windowWidth="24240" windowHeight="13020" xr2:uid="{E2D068EA-46A7-401C-B47C-223A247112B6}"/>
  </bookViews>
  <sheets>
    <sheet name="REVENUE" sheetId="1" r:id="rId1"/>
    <sheet name="EXPENDITURES" sheetId="2" r:id="rId2"/>
    <sheet name="WATER" sheetId="3" r:id="rId3"/>
    <sheet name="WAGES" sheetId="4" r:id="rId4"/>
    <sheet name="BUDGET AD" sheetId="5" r:id="rId5"/>
  </sheets>
  <definedNames>
    <definedName name="FICA" localSheetId="3">WAGES!$B$82</definedName>
    <definedName name="FRS" localSheetId="3">WAGES!$B$81</definedName>
    <definedName name="GF" localSheetId="1">EXPENDITURES!$H$5</definedName>
    <definedName name="Pay_Increase" localSheetId="3">WAGES!$D$2</definedName>
    <definedName name="_xlnm.Print_Area" localSheetId="1">EXPENDITURES!$A$1:$E$124</definedName>
    <definedName name="_xlnm.Print_Area" localSheetId="0">REVENUE!$A$1:$E$97</definedName>
    <definedName name="_xlnm.Print_Area" localSheetId="2">WATER!$A$56:$E$147</definedName>
    <definedName name="WF" localSheetId="1">EXPENDITURES!$G$5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2" l="1"/>
  <c r="E15" i="3"/>
  <c r="D15" i="3"/>
  <c r="C15" i="3"/>
  <c r="B15" i="3"/>
  <c r="C101" i="3"/>
  <c r="D101" i="3"/>
  <c r="E101" i="3"/>
  <c r="E14" i="3" s="1"/>
  <c r="B101" i="3"/>
  <c r="E138" i="3"/>
  <c r="E137" i="3"/>
  <c r="E124" i="3"/>
  <c r="E54" i="1" s="1"/>
  <c r="E123" i="3"/>
  <c r="E53" i="1" s="1"/>
  <c r="E76" i="3"/>
  <c r="E74" i="3"/>
  <c r="E75" i="3"/>
  <c r="E31" i="2"/>
  <c r="C12" i="3"/>
  <c r="C11" i="3"/>
  <c r="C10" i="3"/>
  <c r="H93" i="4" l="1"/>
  <c r="G93" i="4"/>
  <c r="D50" i="2"/>
  <c r="E33" i="2"/>
  <c r="E32" i="2"/>
  <c r="B73" i="4"/>
  <c r="E61" i="4"/>
  <c r="F61" i="4" s="1"/>
  <c r="E39" i="4"/>
  <c r="F39" i="4" s="1"/>
  <c r="E28" i="4"/>
  <c r="F27" i="4" s="1"/>
  <c r="E6" i="4"/>
  <c r="F5" i="4" s="1"/>
  <c r="C94" i="2"/>
  <c r="C69" i="2"/>
  <c r="C50" i="2"/>
  <c r="E50" i="2"/>
  <c r="B50" i="2"/>
  <c r="D36" i="1"/>
  <c r="B54" i="1"/>
  <c r="C69" i="1"/>
  <c r="C40" i="1"/>
  <c r="F28" i="4" l="1"/>
  <c r="F60" i="4"/>
  <c r="F38" i="4"/>
  <c r="B17" i="4"/>
  <c r="C91" i="2" l="1"/>
  <c r="C92" i="2"/>
  <c r="C93" i="2"/>
  <c r="E67" i="2"/>
  <c r="C42" i="2"/>
  <c r="E122" i="3"/>
  <c r="C54" i="1"/>
  <c r="C53" i="1"/>
  <c r="B53" i="1"/>
  <c r="C59" i="2"/>
  <c r="C67" i="3"/>
  <c r="C37" i="3"/>
  <c r="E37" i="3" s="1"/>
  <c r="C41" i="3"/>
  <c r="E41" i="3" s="1"/>
  <c r="C40" i="3"/>
  <c r="E40" i="3" s="1"/>
  <c r="C45" i="3"/>
  <c r="E45" i="3" s="1"/>
  <c r="C46" i="3"/>
  <c r="E46" i="3" s="1"/>
  <c r="C47" i="3"/>
  <c r="E47" i="3" s="1"/>
  <c r="C44" i="3"/>
  <c r="E44" i="3" s="1"/>
  <c r="C50" i="3"/>
  <c r="E50" i="3" s="1"/>
  <c r="C51" i="3"/>
  <c r="E51" i="3" s="1"/>
  <c r="C91" i="3" l="1"/>
  <c r="C120" i="3"/>
  <c r="C80" i="3"/>
  <c r="C74" i="3"/>
  <c r="C75" i="3"/>
  <c r="C76" i="3"/>
  <c r="C63" i="3"/>
  <c r="C25" i="2"/>
  <c r="C5" i="2"/>
  <c r="C73" i="1"/>
  <c r="C66" i="1"/>
  <c r="C63" i="1"/>
  <c r="C57" i="1"/>
  <c r="C4" i="1"/>
  <c r="C86" i="1"/>
  <c r="E86" i="1" s="1"/>
  <c r="C85" i="1"/>
  <c r="E85" i="1" s="1"/>
  <c r="E84" i="1" s="1"/>
  <c r="C90" i="1"/>
  <c r="E90" i="1" s="1"/>
  <c r="C91" i="1"/>
  <c r="E91" i="1" s="1"/>
  <c r="C92" i="1"/>
  <c r="E92" i="1" s="1"/>
  <c r="C93" i="1"/>
  <c r="E93" i="1" s="1"/>
  <c r="C94" i="1"/>
  <c r="E94" i="1" s="1"/>
  <c r="C89" i="1"/>
  <c r="E89" i="1" s="1"/>
  <c r="D83" i="1"/>
  <c r="E88" i="1" l="1"/>
  <c r="H11" i="4"/>
  <c r="G11" i="4"/>
  <c r="H22" i="4"/>
  <c r="G22" i="4"/>
  <c r="H33" i="4"/>
  <c r="G33" i="4"/>
  <c r="H44" i="4"/>
  <c r="G44" i="4"/>
  <c r="H55" i="4"/>
  <c r="G55" i="4"/>
  <c r="H66" i="4"/>
  <c r="G66" i="4"/>
  <c r="B5" i="5" l="1"/>
  <c r="D28" i="5"/>
  <c r="D27" i="5"/>
  <c r="D16" i="5"/>
  <c r="D15" i="5"/>
  <c r="D13" i="5"/>
  <c r="D12" i="5"/>
  <c r="D10" i="5"/>
  <c r="B29" i="5"/>
  <c r="B16" i="5"/>
  <c r="B13" i="5"/>
  <c r="F16" i="5" l="1"/>
  <c r="F13" i="5"/>
  <c r="C119" i="3"/>
  <c r="E119" i="3"/>
  <c r="B119" i="3"/>
  <c r="H72" i="4" l="1"/>
  <c r="D75" i="4"/>
  <c r="D76" i="4"/>
  <c r="D72" i="4"/>
  <c r="D73" i="4"/>
  <c r="C93" i="4" l="1"/>
  <c r="D93" i="4"/>
  <c r="C145" i="3"/>
  <c r="C144" i="3" s="1"/>
  <c r="C142" i="3"/>
  <c r="C141" i="3" s="1"/>
  <c r="C138" i="3"/>
  <c r="C137" i="3"/>
  <c r="C134" i="3"/>
  <c r="C133" i="3" s="1"/>
  <c r="C131" i="3"/>
  <c r="C130" i="3" s="1"/>
  <c r="C128" i="3"/>
  <c r="C127" i="3" s="1"/>
  <c r="C106" i="3"/>
  <c r="C105" i="3" s="1"/>
  <c r="C95" i="3"/>
  <c r="C94" i="3" s="1"/>
  <c r="C92" i="3"/>
  <c r="C90" i="3"/>
  <c r="C89" i="3"/>
  <c r="C82" i="3"/>
  <c r="C79" i="3"/>
  <c r="C71" i="3"/>
  <c r="C70" i="3"/>
  <c r="C62" i="3"/>
  <c r="C60" i="3"/>
  <c r="C23" i="3"/>
  <c r="C22" i="3" s="1"/>
  <c r="C7" i="3"/>
  <c r="C6" i="3" s="1"/>
  <c r="E144" i="3"/>
  <c r="B144" i="3"/>
  <c r="E141" i="3"/>
  <c r="B141" i="3"/>
  <c r="B136" i="3"/>
  <c r="B133" i="3"/>
  <c r="B130" i="3"/>
  <c r="B127" i="3"/>
  <c r="C122" i="3"/>
  <c r="B122" i="3"/>
  <c r="C114" i="3"/>
  <c r="E114" i="3"/>
  <c r="B114" i="3"/>
  <c r="E106" i="3"/>
  <c r="E105" i="3" s="1"/>
  <c r="B106" i="3"/>
  <c r="B105" i="3" s="1"/>
  <c r="C97" i="3"/>
  <c r="E97" i="3"/>
  <c r="B97" i="3"/>
  <c r="E94" i="3"/>
  <c r="B94" i="3"/>
  <c r="E88" i="3"/>
  <c r="B88" i="3"/>
  <c r="C85" i="3"/>
  <c r="E85" i="3"/>
  <c r="B85" i="3"/>
  <c r="E78" i="3"/>
  <c r="B78" i="3"/>
  <c r="C73" i="3"/>
  <c r="E73" i="3"/>
  <c r="B73" i="3"/>
  <c r="E69" i="3"/>
  <c r="B69" i="3"/>
  <c r="C65" i="3"/>
  <c r="E65" i="3"/>
  <c r="B65" i="3"/>
  <c r="E59" i="3"/>
  <c r="E58" i="3" s="1"/>
  <c r="B59" i="3"/>
  <c r="C49" i="3"/>
  <c r="E49" i="3"/>
  <c r="B49" i="3"/>
  <c r="C43" i="3"/>
  <c r="E43" i="3"/>
  <c r="B43" i="3"/>
  <c r="C39" i="3"/>
  <c r="E39" i="3"/>
  <c r="B39" i="3"/>
  <c r="C36" i="3"/>
  <c r="E36" i="3"/>
  <c r="B36" i="3"/>
  <c r="C25" i="3"/>
  <c r="E25" i="3"/>
  <c r="B25" i="3"/>
  <c r="E22" i="3"/>
  <c r="B22" i="3"/>
  <c r="E9" i="3"/>
  <c r="B9" i="3"/>
  <c r="E6" i="3"/>
  <c r="B6" i="3"/>
  <c r="D26" i="5" l="1"/>
  <c r="C113" i="3"/>
  <c r="B113" i="3"/>
  <c r="E113" i="3"/>
  <c r="D29" i="5" s="1"/>
  <c r="F29" i="5" s="1"/>
  <c r="E21" i="3"/>
  <c r="D14" i="5" s="1"/>
  <c r="C21" i="3"/>
  <c r="B21" i="3"/>
  <c r="E35" i="3"/>
  <c r="D20" i="5" s="1"/>
  <c r="B140" i="3"/>
  <c r="C78" i="3"/>
  <c r="C140" i="3"/>
  <c r="C136" i="3"/>
  <c r="C126" i="3" s="1"/>
  <c r="C88" i="3"/>
  <c r="C69" i="3"/>
  <c r="C59" i="3"/>
  <c r="C9" i="3"/>
  <c r="C5" i="3" s="1"/>
  <c r="B35" i="3"/>
  <c r="B5" i="3"/>
  <c r="D25" i="5"/>
  <c r="E140" i="3"/>
  <c r="D31" i="5" s="1"/>
  <c r="E5" i="3"/>
  <c r="D11" i="5" s="1"/>
  <c r="C35" i="3"/>
  <c r="B58" i="3"/>
  <c r="B126" i="3"/>
  <c r="C33" i="3" l="1"/>
  <c r="C53" i="3" s="1"/>
  <c r="B33" i="3"/>
  <c r="B53" i="3" s="1"/>
  <c r="D18" i="5"/>
  <c r="E33" i="3"/>
  <c r="E53" i="3" s="1"/>
  <c r="D53" i="3"/>
  <c r="D147" i="3"/>
  <c r="C58" i="3"/>
  <c r="C147" i="3" s="1"/>
  <c r="B147" i="3"/>
  <c r="D22" i="5" l="1"/>
  <c r="E82" i="2"/>
  <c r="B82" i="2"/>
  <c r="E30" i="2" l="1"/>
  <c r="B29" i="1" l="1"/>
  <c r="C29" i="1"/>
  <c r="E29" i="1"/>
  <c r="H8" i="1"/>
  <c r="E4" i="1" s="1"/>
  <c r="F77" i="4"/>
  <c r="F76" i="4"/>
  <c r="H76" i="4" s="1"/>
  <c r="F75" i="4"/>
  <c r="H75" i="4" s="1"/>
  <c r="E72" i="4"/>
  <c r="E50" i="4"/>
  <c r="E17" i="4"/>
  <c r="B93" i="4"/>
  <c r="B71" i="4"/>
  <c r="B61" i="4"/>
  <c r="B60" i="4"/>
  <c r="B50" i="4"/>
  <c r="B49" i="4"/>
  <c r="B39" i="4"/>
  <c r="B38" i="4"/>
  <c r="B28" i="4"/>
  <c r="B27" i="4"/>
  <c r="B10" i="4"/>
  <c r="B21" i="4"/>
  <c r="B32" i="4"/>
  <c r="B43" i="4"/>
  <c r="B54" i="4"/>
  <c r="B65" i="4"/>
  <c r="L5" i="4"/>
  <c r="L6" i="4" s="1"/>
  <c r="L7" i="4" s="1"/>
  <c r="B20" i="4" s="1"/>
  <c r="M5" i="4"/>
  <c r="M6" i="4" s="1"/>
  <c r="M7" i="4" s="1"/>
  <c r="B31" i="4" s="1"/>
  <c r="N5" i="4"/>
  <c r="N6" i="4" s="1"/>
  <c r="N7" i="4" s="1"/>
  <c r="B42" i="4" s="1"/>
  <c r="O5" i="4"/>
  <c r="O6" i="4" s="1"/>
  <c r="O7" i="4" s="1"/>
  <c r="B53" i="4" s="1"/>
  <c r="P5" i="4"/>
  <c r="P6" i="4" s="1"/>
  <c r="P7" i="4" s="1"/>
  <c r="B64" i="4" s="1"/>
  <c r="K5" i="4"/>
  <c r="K6" i="4" s="1"/>
  <c r="K7" i="4" s="1"/>
  <c r="B9" i="4" s="1"/>
  <c r="B16" i="4"/>
  <c r="B5" i="4"/>
  <c r="F49" i="4" l="1"/>
  <c r="F50" i="4"/>
  <c r="F16" i="4"/>
  <c r="F17" i="4"/>
  <c r="F31" i="4"/>
  <c r="D31" i="4"/>
  <c r="C31" i="4"/>
  <c r="H50" i="4"/>
  <c r="G50" i="4"/>
  <c r="F20" i="4"/>
  <c r="D20" i="4"/>
  <c r="C20" i="4"/>
  <c r="B51" i="4"/>
  <c r="D49" i="4"/>
  <c r="C49" i="4"/>
  <c r="B52" i="4"/>
  <c r="F65" i="4"/>
  <c r="C65" i="4"/>
  <c r="D65" i="4"/>
  <c r="D60" i="4"/>
  <c r="B63" i="4"/>
  <c r="C60" i="4"/>
  <c r="B62" i="4"/>
  <c r="B67" i="4" s="1"/>
  <c r="F43" i="4"/>
  <c r="C43" i="4"/>
  <c r="D43" i="4"/>
  <c r="H77" i="4"/>
  <c r="H61" i="4"/>
  <c r="G61" i="4"/>
  <c r="H39" i="4"/>
  <c r="G39" i="4"/>
  <c r="F54" i="4"/>
  <c r="C54" i="4"/>
  <c r="D54" i="4"/>
  <c r="D61" i="4"/>
  <c r="C61" i="4"/>
  <c r="D17" i="4"/>
  <c r="C17" i="4"/>
  <c r="B8" i="4"/>
  <c r="D5" i="4"/>
  <c r="C5" i="4"/>
  <c r="F32" i="4"/>
  <c r="D32" i="4"/>
  <c r="C32" i="4"/>
  <c r="B41" i="4"/>
  <c r="D38" i="4"/>
  <c r="C38" i="4"/>
  <c r="B40" i="4"/>
  <c r="D39" i="4"/>
  <c r="C39" i="4"/>
  <c r="D50" i="4"/>
  <c r="C50" i="4"/>
  <c r="B19" i="4"/>
  <c r="B18" i="4"/>
  <c r="B23" i="4" s="1"/>
  <c r="D16" i="4"/>
  <c r="C16" i="4"/>
  <c r="F21" i="4"/>
  <c r="D21" i="4"/>
  <c r="C21" i="4"/>
  <c r="D9" i="4"/>
  <c r="C9" i="4"/>
  <c r="C10" i="4"/>
  <c r="D10" i="4"/>
  <c r="G17" i="4"/>
  <c r="H17" i="4"/>
  <c r="F42" i="4"/>
  <c r="D42" i="4"/>
  <c r="C42" i="4"/>
  <c r="F64" i="4"/>
  <c r="D64" i="4"/>
  <c r="C64" i="4"/>
  <c r="B29" i="4"/>
  <c r="D27" i="4"/>
  <c r="C27" i="4"/>
  <c r="B30" i="4"/>
  <c r="H28" i="4"/>
  <c r="G28" i="4"/>
  <c r="F53" i="4"/>
  <c r="D53" i="4"/>
  <c r="C53" i="4"/>
  <c r="D28" i="4"/>
  <c r="C28" i="4"/>
  <c r="F71" i="4"/>
  <c r="F73" i="4" s="1"/>
  <c r="H73" i="4" s="1"/>
  <c r="D71" i="4"/>
  <c r="C71" i="4"/>
  <c r="B87" i="4"/>
  <c r="B7" i="4"/>
  <c r="B86" i="4"/>
  <c r="B91" i="4"/>
  <c r="F9" i="4"/>
  <c r="B92" i="4"/>
  <c r="F10" i="4"/>
  <c r="B74" i="4"/>
  <c r="F87" i="4"/>
  <c r="B34" i="4" l="1"/>
  <c r="F91" i="4"/>
  <c r="H9" i="4"/>
  <c r="G9" i="4"/>
  <c r="C7" i="4"/>
  <c r="D7" i="4"/>
  <c r="D18" i="4"/>
  <c r="C18" i="4"/>
  <c r="G54" i="4"/>
  <c r="H54" i="4"/>
  <c r="D62" i="4"/>
  <c r="C62" i="4"/>
  <c r="C52" i="4"/>
  <c r="D52" i="4"/>
  <c r="H53" i="4"/>
  <c r="G53" i="4"/>
  <c r="H42" i="4"/>
  <c r="G42" i="4"/>
  <c r="C72" i="4"/>
  <c r="C73" i="4" s="1"/>
  <c r="C6" i="4"/>
  <c r="C86" i="4"/>
  <c r="C63" i="4"/>
  <c r="D63" i="4"/>
  <c r="H20" i="4"/>
  <c r="G20" i="4"/>
  <c r="D41" i="4"/>
  <c r="C41" i="4"/>
  <c r="G43" i="4"/>
  <c r="H43" i="4"/>
  <c r="F63" i="4"/>
  <c r="F62" i="4"/>
  <c r="F67" i="4" s="1"/>
  <c r="H60" i="4"/>
  <c r="G60" i="4"/>
  <c r="C51" i="4"/>
  <c r="D51" i="4"/>
  <c r="D56" i="4" s="1"/>
  <c r="C19" i="4"/>
  <c r="D19" i="4"/>
  <c r="H71" i="4"/>
  <c r="D29" i="4"/>
  <c r="C29" i="4"/>
  <c r="B12" i="4"/>
  <c r="F52" i="4"/>
  <c r="F51" i="4"/>
  <c r="H49" i="4"/>
  <c r="G49" i="4"/>
  <c r="H38" i="4"/>
  <c r="G38" i="4"/>
  <c r="F40" i="4"/>
  <c r="F41" i="4"/>
  <c r="D8" i="4"/>
  <c r="C8" i="4"/>
  <c r="H16" i="4"/>
  <c r="F18" i="4"/>
  <c r="F19" i="4"/>
  <c r="G16" i="4"/>
  <c r="G32" i="4"/>
  <c r="H32" i="4"/>
  <c r="B90" i="4"/>
  <c r="D74" i="4"/>
  <c r="G5" i="4"/>
  <c r="H5" i="4"/>
  <c r="B45" i="4"/>
  <c r="G65" i="4"/>
  <c r="H65" i="4"/>
  <c r="C30" i="4"/>
  <c r="C34" i="4" s="1"/>
  <c r="D30" i="4"/>
  <c r="D6" i="4"/>
  <c r="D87" i="4" s="1"/>
  <c r="D86" i="4"/>
  <c r="H27" i="4"/>
  <c r="F30" i="4"/>
  <c r="G27" i="4"/>
  <c r="F29" i="4"/>
  <c r="F34" i="4" s="1"/>
  <c r="F92" i="4"/>
  <c r="H10" i="4"/>
  <c r="G10" i="4"/>
  <c r="H64" i="4"/>
  <c r="G64" i="4"/>
  <c r="G21" i="4"/>
  <c r="H21" i="4"/>
  <c r="C40" i="4"/>
  <c r="C45" i="4" s="1"/>
  <c r="D40" i="4"/>
  <c r="D45" i="4" s="1"/>
  <c r="B78" i="4"/>
  <c r="B56" i="4"/>
  <c r="H31" i="4"/>
  <c r="G31" i="4"/>
  <c r="F74" i="4"/>
  <c r="H74" i="4" s="1"/>
  <c r="G71" i="4"/>
  <c r="B88" i="4"/>
  <c r="B89" i="4"/>
  <c r="F86" i="4"/>
  <c r="F88" i="4" s="1"/>
  <c r="I2" i="4" s="1"/>
  <c r="F7" i="4"/>
  <c r="F8" i="4"/>
  <c r="F56" i="4" l="1"/>
  <c r="F45" i="4"/>
  <c r="F46" i="4" s="1"/>
  <c r="D67" i="4"/>
  <c r="F23" i="4"/>
  <c r="F24" i="4" s="1"/>
  <c r="F35" i="4"/>
  <c r="C56" i="4"/>
  <c r="C87" i="4"/>
  <c r="C88" i="4" s="1"/>
  <c r="C67" i="4"/>
  <c r="D34" i="4"/>
  <c r="D23" i="4"/>
  <c r="C23" i="4"/>
  <c r="B94" i="4"/>
  <c r="D88" i="4"/>
  <c r="F57" i="4"/>
  <c r="F12" i="4"/>
  <c r="F13" i="4" s="1"/>
  <c r="C89" i="4"/>
  <c r="C74" i="4"/>
  <c r="C75" i="4" s="1"/>
  <c r="H19" i="4"/>
  <c r="G19" i="4"/>
  <c r="H18" i="4"/>
  <c r="G18" i="4"/>
  <c r="G51" i="4"/>
  <c r="H51" i="4"/>
  <c r="G52" i="4"/>
  <c r="H52" i="4"/>
  <c r="D89" i="4"/>
  <c r="H29" i="4"/>
  <c r="G29" i="4"/>
  <c r="G63" i="4"/>
  <c r="H63" i="4"/>
  <c r="G8" i="4"/>
  <c r="H8" i="4"/>
  <c r="H6" i="4"/>
  <c r="H87" i="4" s="1"/>
  <c r="H86" i="4"/>
  <c r="D90" i="4"/>
  <c r="H62" i="4"/>
  <c r="G62" i="4"/>
  <c r="H7" i="4"/>
  <c r="G7" i="4"/>
  <c r="G30" i="4"/>
  <c r="H30" i="4"/>
  <c r="G6" i="4"/>
  <c r="G86" i="4"/>
  <c r="G72" i="4"/>
  <c r="G73" i="4" s="1"/>
  <c r="G74" i="4" s="1"/>
  <c r="G75" i="4" s="1"/>
  <c r="G76" i="4" s="1"/>
  <c r="G92" i="4" s="1"/>
  <c r="E117" i="2" s="1"/>
  <c r="G41" i="4"/>
  <c r="H41" i="4"/>
  <c r="F78" i="4"/>
  <c r="F68" i="4"/>
  <c r="D12" i="4"/>
  <c r="H40" i="4"/>
  <c r="G40" i="4"/>
  <c r="C12" i="4"/>
  <c r="D92" i="4"/>
  <c r="D78" i="4"/>
  <c r="D91" i="4"/>
  <c r="F90" i="4"/>
  <c r="F89" i="4"/>
  <c r="G34" i="4" l="1"/>
  <c r="C90" i="4"/>
  <c r="G45" i="4"/>
  <c r="G23" i="4"/>
  <c r="H23" i="4"/>
  <c r="G67" i="4"/>
  <c r="H34" i="4"/>
  <c r="G12" i="4"/>
  <c r="H56" i="4"/>
  <c r="H88" i="4"/>
  <c r="E128" i="3" s="1"/>
  <c r="H45" i="4"/>
  <c r="G56" i="4"/>
  <c r="G87" i="4"/>
  <c r="G88" i="4" s="1"/>
  <c r="E104" i="2" s="1"/>
  <c r="E103" i="2" s="1"/>
  <c r="H67" i="4"/>
  <c r="G78" i="4"/>
  <c r="H89" i="4"/>
  <c r="E134" i="3" s="1"/>
  <c r="G89" i="4"/>
  <c r="E113" i="2" s="1"/>
  <c r="G90" i="4"/>
  <c r="E110" i="2" s="1"/>
  <c r="G91" i="4"/>
  <c r="E116" i="2" s="1"/>
  <c r="H12" i="4"/>
  <c r="H90" i="4"/>
  <c r="E131" i="3" s="1"/>
  <c r="D94" i="4"/>
  <c r="C76" i="4"/>
  <c r="C92" i="4" s="1"/>
  <c r="C91" i="4"/>
  <c r="F94" i="4"/>
  <c r="I3" i="4" s="1"/>
  <c r="E63" i="2"/>
  <c r="C63" i="2"/>
  <c r="B63" i="2"/>
  <c r="C78" i="2"/>
  <c r="E120" i="2"/>
  <c r="E119" i="2" s="1"/>
  <c r="B31" i="5" s="1"/>
  <c r="E96" i="2"/>
  <c r="E87" i="2"/>
  <c r="E73" i="2"/>
  <c r="E72" i="2" s="1"/>
  <c r="B27" i="5" s="1"/>
  <c r="F27" i="5" s="1"/>
  <c r="E66" i="2"/>
  <c r="B26" i="5" s="1"/>
  <c r="F26" i="5" s="1"/>
  <c r="E57" i="2"/>
  <c r="E3" i="2" s="1"/>
  <c r="E53" i="2"/>
  <c r="E47" i="2"/>
  <c r="E41" i="2"/>
  <c r="E38" i="2"/>
  <c r="E35" i="2"/>
  <c r="E27" i="2"/>
  <c r="E23" i="2"/>
  <c r="E19" i="2"/>
  <c r="E16" i="2"/>
  <c r="E13" i="2"/>
  <c r="E10" i="2"/>
  <c r="E7" i="2"/>
  <c r="E4" i="2"/>
  <c r="C88" i="1"/>
  <c r="B88" i="1"/>
  <c r="C84" i="1"/>
  <c r="E83" i="1"/>
  <c r="B20" i="5" s="1"/>
  <c r="B84" i="1"/>
  <c r="E52" i="1"/>
  <c r="B52" i="1"/>
  <c r="E11" i="1"/>
  <c r="C3" i="1"/>
  <c r="E3" i="1"/>
  <c r="B9" i="5" s="1"/>
  <c r="F9" i="5" s="1"/>
  <c r="B3" i="1"/>
  <c r="C52" i="1"/>
  <c r="B49" i="1"/>
  <c r="E7" i="1"/>
  <c r="E14" i="1"/>
  <c r="E76" i="1"/>
  <c r="E72" i="1"/>
  <c r="E71" i="1" s="1"/>
  <c r="B15" i="5" s="1"/>
  <c r="E68" i="1"/>
  <c r="E65" i="1"/>
  <c r="E62" i="1"/>
  <c r="E59" i="1"/>
  <c r="E56" i="1"/>
  <c r="E49" i="1"/>
  <c r="E42" i="1"/>
  <c r="E36" i="1"/>
  <c r="E33" i="1"/>
  <c r="E28" i="1"/>
  <c r="B11" i="5" s="1"/>
  <c r="F11" i="5" s="1"/>
  <c r="E25" i="1"/>
  <c r="E22" i="1"/>
  <c r="E19" i="1"/>
  <c r="C121" i="2"/>
  <c r="C120" i="2" s="1"/>
  <c r="C119" i="2" s="1"/>
  <c r="C117" i="2"/>
  <c r="C116" i="2"/>
  <c r="C113" i="2"/>
  <c r="C112" i="2" s="1"/>
  <c r="C110" i="2"/>
  <c r="C109" i="2" s="1"/>
  <c r="C107" i="2"/>
  <c r="C106" i="2"/>
  <c r="C105" i="2"/>
  <c r="C98" i="2"/>
  <c r="C97" i="2"/>
  <c r="C89" i="2"/>
  <c r="C83" i="2"/>
  <c r="C82" i="2" s="1"/>
  <c r="C80" i="2"/>
  <c r="C79" i="2"/>
  <c r="C77" i="2"/>
  <c r="C76" i="2"/>
  <c r="C75" i="2"/>
  <c r="C74" i="2"/>
  <c r="C70" i="2"/>
  <c r="C68" i="2"/>
  <c r="C55" i="2"/>
  <c r="C54" i="2"/>
  <c r="C48" i="2"/>
  <c r="C47" i="2" s="1"/>
  <c r="C43" i="2"/>
  <c r="C39" i="2"/>
  <c r="C38" i="2" s="1"/>
  <c r="C35" i="2"/>
  <c r="C28" i="2"/>
  <c r="C27" i="2" s="1"/>
  <c r="C21" i="2"/>
  <c r="C17" i="2"/>
  <c r="C16" i="2" s="1"/>
  <c r="C14" i="2"/>
  <c r="C13" i="2" s="1"/>
  <c r="C11" i="2"/>
  <c r="C10" i="2" s="1"/>
  <c r="C78" i="4" l="1"/>
  <c r="C94" i="4"/>
  <c r="C104" i="2"/>
  <c r="C103" i="2" s="1"/>
  <c r="F15" i="5"/>
  <c r="F20" i="5"/>
  <c r="E86" i="2"/>
  <c r="B28" i="5" s="1"/>
  <c r="F28" i="5" s="1"/>
  <c r="F31" i="5"/>
  <c r="E112" i="2"/>
  <c r="E133" i="3"/>
  <c r="E109" i="2"/>
  <c r="E127" i="3"/>
  <c r="E130" i="3"/>
  <c r="E115" i="2"/>
  <c r="G94" i="4"/>
  <c r="H92" i="4"/>
  <c r="H91" i="4"/>
  <c r="H78" i="4"/>
  <c r="C115" i="2"/>
  <c r="B25" i="5"/>
  <c r="F25" i="5" s="1"/>
  <c r="C67" i="2"/>
  <c r="C66" i="2" s="1"/>
  <c r="E32" i="1"/>
  <c r="B12" i="5" s="1"/>
  <c r="F12" i="5" s="1"/>
  <c r="C83" i="1"/>
  <c r="B83" i="1"/>
  <c r="E48" i="1"/>
  <c r="B14" i="5" s="1"/>
  <c r="F14" i="5" s="1"/>
  <c r="C19" i="2"/>
  <c r="C96" i="2"/>
  <c r="C30" i="2"/>
  <c r="C23" i="2"/>
  <c r="C41" i="2"/>
  <c r="C53" i="2"/>
  <c r="C57" i="2"/>
  <c r="C87" i="2"/>
  <c r="C73" i="2"/>
  <c r="C72" i="2" s="1"/>
  <c r="E6" i="1"/>
  <c r="B10" i="5" s="1"/>
  <c r="F10" i="5" s="1"/>
  <c r="C102" i="2" l="1"/>
  <c r="C86" i="2"/>
  <c r="E136" i="3"/>
  <c r="E126" i="3" s="1"/>
  <c r="D123" i="2"/>
  <c r="B18" i="5"/>
  <c r="F18" i="5" s="1"/>
  <c r="E102" i="2"/>
  <c r="B30" i="5" s="1"/>
  <c r="H94" i="4"/>
  <c r="D81" i="1"/>
  <c r="D96" i="1" s="1"/>
  <c r="E81" i="1"/>
  <c r="E82" i="1" s="1"/>
  <c r="E147" i="3" l="1"/>
  <c r="E54" i="3" s="1"/>
  <c r="D30" i="5"/>
  <c r="D33" i="5" s="1"/>
  <c r="E123" i="2"/>
  <c r="E124" i="2" s="1"/>
  <c r="B33" i="5"/>
  <c r="B22" i="5"/>
  <c r="F22" i="5" s="1"/>
  <c r="E96" i="1"/>
  <c r="F33" i="5" l="1"/>
  <c r="F30" i="5"/>
  <c r="D35" i="5"/>
  <c r="D37" i="5" s="1"/>
  <c r="E97" i="1"/>
  <c r="B35" i="5"/>
  <c r="C77" i="1"/>
  <c r="C76" i="1" s="1"/>
  <c r="C74" i="1"/>
  <c r="C68" i="1"/>
  <c r="C65" i="1"/>
  <c r="C62" i="1"/>
  <c r="C60" i="1"/>
  <c r="C59" i="1" s="1"/>
  <c r="C56" i="1"/>
  <c r="C50" i="1"/>
  <c r="C49" i="1" s="1"/>
  <c r="C44" i="1"/>
  <c r="C43" i="1"/>
  <c r="C35" i="1"/>
  <c r="C34" i="1"/>
  <c r="C33" i="1" s="1"/>
  <c r="C26" i="1"/>
  <c r="C25" i="1" s="1"/>
  <c r="C23" i="1"/>
  <c r="C22" i="1" s="1"/>
  <c r="C20" i="1"/>
  <c r="C19" i="1" s="1"/>
  <c r="C17" i="1"/>
  <c r="C16" i="1"/>
  <c r="C15" i="1"/>
  <c r="C12" i="1"/>
  <c r="C11" i="1" s="1"/>
  <c r="C9" i="1"/>
  <c r="C8" i="1"/>
  <c r="C7" i="2"/>
  <c r="C4" i="2"/>
  <c r="C3" i="2" s="1"/>
  <c r="C123" i="2" s="1"/>
  <c r="B120" i="2"/>
  <c r="B119" i="2" s="1"/>
  <c r="B115" i="2"/>
  <c r="B112" i="2"/>
  <c r="B109" i="2"/>
  <c r="B103" i="2"/>
  <c r="B96" i="2"/>
  <c r="B87" i="2"/>
  <c r="B73" i="2"/>
  <c r="B67" i="2"/>
  <c r="B66" i="2" s="1"/>
  <c r="B57" i="2"/>
  <c r="B53" i="2"/>
  <c r="B47" i="2"/>
  <c r="B41" i="2"/>
  <c r="B38" i="2"/>
  <c r="B35" i="2"/>
  <c r="B30" i="2"/>
  <c r="B27" i="2"/>
  <c r="B23" i="2"/>
  <c r="B19" i="2"/>
  <c r="B16" i="2"/>
  <c r="B13" i="2"/>
  <c r="B10" i="2"/>
  <c r="B7" i="2"/>
  <c r="B4" i="2"/>
  <c r="B76" i="1"/>
  <c r="B72" i="1"/>
  <c r="B68" i="1"/>
  <c r="B65" i="1"/>
  <c r="B62" i="1"/>
  <c r="B59" i="1"/>
  <c r="B56" i="1"/>
  <c r="B42" i="1"/>
  <c r="C36" i="1"/>
  <c r="B36" i="1"/>
  <c r="B33" i="1"/>
  <c r="C28" i="1"/>
  <c r="B28" i="1"/>
  <c r="B25" i="1"/>
  <c r="B22" i="1"/>
  <c r="B19" i="1"/>
  <c r="B14" i="1"/>
  <c r="B11" i="1"/>
  <c r="B7" i="1"/>
  <c r="F35" i="5" l="1"/>
  <c r="B102" i="2"/>
  <c r="B86" i="2"/>
  <c r="B71" i="1"/>
  <c r="B37" i="5"/>
  <c r="F37" i="5" s="1"/>
  <c r="C14" i="1"/>
  <c r="B72" i="2"/>
  <c r="B3" i="2"/>
  <c r="B32" i="1"/>
  <c r="C42" i="1"/>
  <c r="C32" i="1" s="1"/>
  <c r="C7" i="1"/>
  <c r="C48" i="1"/>
  <c r="B6" i="1"/>
  <c r="B48" i="1"/>
  <c r="C72" i="1"/>
  <c r="C71" i="1" s="1"/>
  <c r="C6" i="1" l="1"/>
  <c r="C81" i="1" s="1"/>
  <c r="C96" i="1" s="1"/>
  <c r="B123" i="2"/>
  <c r="B81" i="1"/>
  <c r="B9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tc={A72EC23E-F984-48E9-B136-FC1AA5215AB3}</author>
    <author>tc={006764CF-2EE4-4222-A92A-D5532F538169}</author>
    <author>tc={7D5412FF-4C81-4AAB-AD1F-2040F7C4DAC3}</author>
  </authors>
  <commentList>
    <comment ref="A31" authorId="0" shapeId="0" xr:uid="{A72EC23E-F984-48E9-B136-FC1AA5215AB3}">
      <text>
        <t>[Threaded comment]
Your version of Excel allows you to read this threaded comment; however, any edits to it will get removed if the file is opened in a newer version of Excel. Learn more: https://go.microsoft.com/fwlink/?linkid=870924
Comment:
    Gen Liability + Cyber Liability, 50% with WF</t>
      </text>
    </comment>
    <comment ref="A32" authorId="1" shapeId="0" xr:uid="{006764CF-2EE4-4222-A92A-D5532F538169}">
      <text>
        <t>[Threaded comment]
Your version of Excel allows you to read this threaded comment; however, any edits to it will get removed if the file is opened in a newer version of Excel. Learn more: https://go.microsoft.com/fwlink/?linkid=870924
Comment:
    WF % based on payroll</t>
      </text>
    </comment>
    <comment ref="A33" authorId="2" shapeId="0" xr:uid="{7D5412FF-4C81-4AAB-AD1F-2040F7C4DAC3}">
      <text>
        <t>[Threaded comment]
Your version of Excel allows you to read this threaded comment; however, any edits to it will get removed if the file is opened in a newer version of Excel. Learn more: https://go.microsoft.com/fwlink/?linkid=870924
Comment:
    WF % for auto based on payroll, Property 50%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tc={86735AB8-2666-4828-842C-9746F962267B}</author>
    <author>tc={5B14D67C-D07A-4064-8CF7-12F563459356}</author>
    <author>tc={BD2B557D-8CDC-4CA2-AF5B-BCB7D09C21F8}</author>
    <author>tc={097DCF63-C2F2-4091-89C9-37DEF9105DC6}</author>
  </authors>
  <commentList>
    <comment ref="B71" authorId="0" shapeId="0" xr:uid="{86735AB8-2666-4828-842C-9746F962267B}">
      <text>
        <t>[Threaded comment]
Your version of Excel allows you to read this threaded comment; however, any edits to it will get removed if the file is opened in a newer version of Excel. Learn more: https://go.microsoft.com/fwlink/?linkid=870924
Comment:
    Office/Fire Station TECO Reimbursement</t>
      </text>
    </comment>
    <comment ref="B79" authorId="1" shapeId="0" xr:uid="{5B14D67C-D07A-4064-8CF7-12F56345935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534.460 GL expenses and RM Solutions Hydrant Flow Test from 534.340</t>
      </text>
    </comment>
    <comment ref="B89" authorId="2" shapeId="0" xr:uid="{BD2B557D-8CDC-4CA2-AF5B-BCB7D09C21F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Legal Ads from 534.340</t>
      </text>
    </comment>
    <comment ref="B145" authorId="3" shapeId="0" xr:uid="{097DCF63-C2F2-4091-89C9-37DEF9105DC6}">
      <text>
        <t>[Threaded comment]
Your version of Excel allows you to read this threaded comment; however, any edits to it will get removed if the file is opened in a newer version of Excel. Learn more: https://go.microsoft.com/fwlink/?linkid=870924
Comment:
    gWorks payment + phones/well internet reimburse from GF</t>
      </text>
    </comment>
  </commentList>
</comments>
</file>

<file path=xl/sharedStrings.xml><?xml version="1.0" encoding="utf-8"?>
<sst xmlns="http://schemas.openxmlformats.org/spreadsheetml/2006/main" count="470" uniqueCount="312">
  <si>
    <t>Source</t>
  </si>
  <si>
    <t>AD VALOREM TAXES</t>
  </si>
  <si>
    <t>Millage Comparisons</t>
  </si>
  <si>
    <t>311.000 Property Tax</t>
  </si>
  <si>
    <t>Prior Year</t>
  </si>
  <si>
    <t>SALES &amp; USE TAXES</t>
  </si>
  <si>
    <t>RBR</t>
  </si>
  <si>
    <t>Local Option Gasoline Tax</t>
  </si>
  <si>
    <t>Estimated Taxes</t>
  </si>
  <si>
    <t>312.400 6 Cent</t>
  </si>
  <si>
    <t>312.401 5 Cent</t>
  </si>
  <si>
    <t>Communications Services Tax</t>
  </si>
  <si>
    <t>315.100 Local Comm</t>
  </si>
  <si>
    <t>Franchise Fees</t>
  </si>
  <si>
    <t>323.100 Electric</t>
  </si>
  <si>
    <t>323.400 Gas</t>
  </si>
  <si>
    <t>323.900 Waste</t>
  </si>
  <si>
    <t>Mobile Home License</t>
  </si>
  <si>
    <t>335.140 MH</t>
  </si>
  <si>
    <t>Alcoholic Beverage License</t>
  </si>
  <si>
    <t>335.150 ABT</t>
  </si>
  <si>
    <t>Local Government Half Cent Sales</t>
  </si>
  <si>
    <t>335.180 Half Cent</t>
  </si>
  <si>
    <t>CHARGES FOR SERVICE</t>
  </si>
  <si>
    <t>Building Rental</t>
  </si>
  <si>
    <t>362.300 Sheriff</t>
  </si>
  <si>
    <t>INTERGOVERNMENTAL REVENUE</t>
  </si>
  <si>
    <t>Penny For Pasco</t>
  </si>
  <si>
    <t>312.600 Penny</t>
  </si>
  <si>
    <t>Additional Funding</t>
  </si>
  <si>
    <t>331.000 ARPA</t>
  </si>
  <si>
    <t>334.200 Fire Station</t>
  </si>
  <si>
    <t>334.360 Stormwater</t>
  </si>
  <si>
    <t>State Revenue Sharing</t>
  </si>
  <si>
    <t>335.120 State Rev</t>
  </si>
  <si>
    <t>335.122 State Rev 8 Cent</t>
  </si>
  <si>
    <t>FINES &amp; FORFEITURES</t>
  </si>
  <si>
    <t>MISCELLANEOUS REVENUE</t>
  </si>
  <si>
    <t>Interest Income</t>
  </si>
  <si>
    <t>361.100 Interest</t>
  </si>
  <si>
    <t>Water Fund Loan</t>
  </si>
  <si>
    <t>Loan Interest</t>
  </si>
  <si>
    <t>Loan Principle</t>
  </si>
  <si>
    <t>Transportation Impact Fees</t>
  </si>
  <si>
    <t>363.240 Transport Impact</t>
  </si>
  <si>
    <t>Surplus Property Sales</t>
  </si>
  <si>
    <t>364.400 Surplus</t>
  </si>
  <si>
    <t>Contributions &amp; Donations</t>
  </si>
  <si>
    <t>366.100 Donations</t>
  </si>
  <si>
    <t>School Admin Fee</t>
  </si>
  <si>
    <t>369.100 Admin Fee</t>
  </si>
  <si>
    <t>Miscellaneous Revenue</t>
  </si>
  <si>
    <t>369.900 Misc</t>
  </si>
  <si>
    <t>LICENSES &amp; PERMITS</t>
  </si>
  <si>
    <t>Business Tax</t>
  </si>
  <si>
    <t>316.100 City Occ</t>
  </si>
  <si>
    <t>338.200 County Occ</t>
  </si>
  <si>
    <t>Building Permits</t>
  </si>
  <si>
    <t>322.000 Permits</t>
  </si>
  <si>
    <t>INTERNAL SERVICE CHARGES</t>
  </si>
  <si>
    <t>TOTAL REVENUE</t>
  </si>
  <si>
    <t>RESERVES/RESTRICTED FUNDS</t>
  </si>
  <si>
    <t>Bank Accounts</t>
  </si>
  <si>
    <t>General Fund</t>
  </si>
  <si>
    <t>School Impact Fees</t>
  </si>
  <si>
    <t>Certificates of Deposit</t>
  </si>
  <si>
    <t>0118 - 12 Month PF</t>
  </si>
  <si>
    <t>0233 - 12 Month PF</t>
  </si>
  <si>
    <t>3147 - 12 Month PF</t>
  </si>
  <si>
    <t>3233 - 59 Month PF</t>
  </si>
  <si>
    <t>3235 - 59 Month PF</t>
  </si>
  <si>
    <t>3356 - 9 Month PF</t>
  </si>
  <si>
    <t>TOTAL REVENUE + RESERVES</t>
  </si>
  <si>
    <t>REVENUE LESS EXPENDITURES</t>
  </si>
  <si>
    <t>GENERAL GOVERNMENT</t>
  </si>
  <si>
    <t>Elections</t>
  </si>
  <si>
    <t>WF</t>
  </si>
  <si>
    <t>GF</t>
  </si>
  <si>
    <t>FMIT Est.</t>
  </si>
  <si>
    <t>511.345 Election Expense</t>
  </si>
  <si>
    <t>Gen Liability</t>
  </si>
  <si>
    <t>Cyber Liability</t>
  </si>
  <si>
    <t>Honorarium</t>
  </si>
  <si>
    <t>Auto Liability</t>
  </si>
  <si>
    <t>512.100 Commissioners' Pay</t>
  </si>
  <si>
    <t>Property</t>
  </si>
  <si>
    <t>Legal Advertising</t>
  </si>
  <si>
    <t>Auto Property</t>
  </si>
  <si>
    <t>512.470 Legal Advertising</t>
  </si>
  <si>
    <t>WC</t>
  </si>
  <si>
    <t>Uniforms</t>
  </si>
  <si>
    <t>512.521 Uniforms</t>
  </si>
  <si>
    <t>General Administration</t>
  </si>
  <si>
    <t>513.340 General Admin</t>
  </si>
  <si>
    <t>Training &amp; Seminars</t>
  </si>
  <si>
    <t>513.408 Staff Training</t>
  </si>
  <si>
    <t>513.409 Commissioner Training</t>
  </si>
  <si>
    <t>Dues</t>
  </si>
  <si>
    <t>513.541 Staff Dues</t>
  </si>
  <si>
    <t>513.542 Association Dues</t>
  </si>
  <si>
    <t>Service Charges</t>
  </si>
  <si>
    <t>513.430 Water Utility Fees</t>
  </si>
  <si>
    <t>Municipal Insurance</t>
  </si>
  <si>
    <t>513.450 Liability</t>
  </si>
  <si>
    <t>513.451 Worker's Comp</t>
  </si>
  <si>
    <t>513.452 Property &amp; Auto</t>
  </si>
  <si>
    <t>Audit &amp; Bookkeeping</t>
  </si>
  <si>
    <t>513.320 Audit Fee &amp; Accounting</t>
  </si>
  <si>
    <t>Legal Counsel</t>
  </si>
  <si>
    <t>514.312 City Attorney</t>
  </si>
  <si>
    <t>Planning &amp; Development</t>
  </si>
  <si>
    <t>514.342 Comp Plan</t>
  </si>
  <si>
    <t>514.343 Surveying</t>
  </si>
  <si>
    <t>514.344 Engineering</t>
  </si>
  <si>
    <t>514.345 Planning</t>
  </si>
  <si>
    <t>Codification</t>
  </si>
  <si>
    <t>514.345 Codification</t>
  </si>
  <si>
    <t>Capital Purchases</t>
  </si>
  <si>
    <t>522.640 Fire Station Capital</t>
  </si>
  <si>
    <t>541.642 Capital General</t>
  </si>
  <si>
    <t>Funding Projects</t>
  </si>
  <si>
    <t>522.620 Fire Station Grant</t>
  </si>
  <si>
    <t>538.460 Stormwater Grant</t>
  </si>
  <si>
    <t>590.940 ARPA</t>
  </si>
  <si>
    <t>Reserves/Contingency</t>
  </si>
  <si>
    <t>590.901 Reserves Contingency</t>
  </si>
  <si>
    <t>PUBLIC SAFETY</t>
  </si>
  <si>
    <t>Law Enforcement</t>
  </si>
  <si>
    <t>521.341 Law Enforcement</t>
  </si>
  <si>
    <t>521.342 Animal Control</t>
  </si>
  <si>
    <t>521.345 Code Enforcement</t>
  </si>
  <si>
    <t>PHYSICAL ENVIRONMENT</t>
  </si>
  <si>
    <t>Parks</t>
  </si>
  <si>
    <t>572.460 Parks Maintenance</t>
  </si>
  <si>
    <t>572.461 Parks Lawn Service</t>
  </si>
  <si>
    <t>572.490 Lake Park</t>
  </si>
  <si>
    <t>572.640 Capital Parks</t>
  </si>
  <si>
    <t>572.646 Capital Depot</t>
  </si>
  <si>
    <t>572.648 Capital Caboose</t>
  </si>
  <si>
    <t>Stormwater</t>
  </si>
  <si>
    <t>538.340 Stormwater Study</t>
  </si>
  <si>
    <t>538.XXX Stormwater Maintenance</t>
  </si>
  <si>
    <t>TRANSPORTATION</t>
  </si>
  <si>
    <t>Streets</t>
  </si>
  <si>
    <t>541.341 Ditch &amp; ROW Maintenance</t>
  </si>
  <si>
    <t>541.430 Street Lights</t>
  </si>
  <si>
    <t>541.530 Street Repair</t>
  </si>
  <si>
    <t>541.531 Street Marking Signs</t>
  </si>
  <si>
    <t>541.533 Street Tree Pruning &amp; Removal</t>
  </si>
  <si>
    <t>541.640 Street Capital</t>
  </si>
  <si>
    <t>541.643 Sidewalk Capital</t>
  </si>
  <si>
    <t>Vehicles &amp; Equipment</t>
  </si>
  <si>
    <t>541.560 Vehicle &amp; Equipment Repairs</t>
  </si>
  <si>
    <t>541.641 Equipment Capital</t>
  </si>
  <si>
    <t>DEBT SERVICES</t>
  </si>
  <si>
    <t>HUMAN SERVICES</t>
  </si>
  <si>
    <t>Wages</t>
  </si>
  <si>
    <t>512.120 Salaries</t>
  </si>
  <si>
    <t>513.120 Admin Salaries</t>
  </si>
  <si>
    <t>541.120 Street Salaries</t>
  </si>
  <si>
    <t>572.120 Parks Salaries</t>
  </si>
  <si>
    <t>FICA</t>
  </si>
  <si>
    <t>512.210 Payroll Taxes</t>
  </si>
  <si>
    <t>Florida Retirement System</t>
  </si>
  <si>
    <t>512.220 FRS</t>
  </si>
  <si>
    <t>Employee Insurance</t>
  </si>
  <si>
    <t>512.230 Group Health</t>
  </si>
  <si>
    <t>512.232 Supplemental Insurance</t>
  </si>
  <si>
    <t>ADMINISTRATIVE TECHNOLOGY SERVICES</t>
  </si>
  <si>
    <t>Technology</t>
  </si>
  <si>
    <t>513.520 Technology</t>
  </si>
  <si>
    <t>TOTAL EXPENDITURES</t>
  </si>
  <si>
    <t>Water Service Billing</t>
  </si>
  <si>
    <t>343.300 Water Billings</t>
  </si>
  <si>
    <t>Connection &amp; Installation Fees</t>
  </si>
  <si>
    <t>343.301 Tap In Fees</t>
  </si>
  <si>
    <t>343.303 Turn On Fees</t>
  </si>
  <si>
    <t>343.310 Back Flow Installations</t>
  </si>
  <si>
    <t>INTERGOVERNMENTAL REVENUES</t>
  </si>
  <si>
    <t>369.200 Other Income</t>
  </si>
  <si>
    <t>389.901 Other Financing Sources</t>
  </si>
  <si>
    <t>Water Fund</t>
  </si>
  <si>
    <t>USDA Loan</t>
  </si>
  <si>
    <t>Sinking</t>
  </si>
  <si>
    <t>Reserve</t>
  </si>
  <si>
    <t>0202 - 18 Month PF</t>
  </si>
  <si>
    <t>3234 - 59 Month PF</t>
  </si>
  <si>
    <t>3236 - 59 Month PF</t>
  </si>
  <si>
    <t>3237 - 59 Month PF</t>
  </si>
  <si>
    <t>Restricted Funds</t>
  </si>
  <si>
    <t>343.901 Enterprise Fund</t>
  </si>
  <si>
    <t>220.100 Customer Deposits &amp; Refunds</t>
  </si>
  <si>
    <t>SOURCE</t>
  </si>
  <si>
    <t>Professional Services</t>
  </si>
  <si>
    <t>534.340 Attorney</t>
  </si>
  <si>
    <t>534.340 Audit &amp; Bookkeeping</t>
  </si>
  <si>
    <t>534.340 Engineering</t>
  </si>
  <si>
    <t>534.340 Dues</t>
  </si>
  <si>
    <t>Travel &amp; Training</t>
  </si>
  <si>
    <t>534.400 Meter Reader Travel</t>
  </si>
  <si>
    <t>534.411 Training &amp; Seminars</t>
  </si>
  <si>
    <t>Utilities</t>
  </si>
  <si>
    <t>534.430 Power For Pump</t>
  </si>
  <si>
    <t>534.430 Office Utilities</t>
  </si>
  <si>
    <t>534.450 Liability</t>
  </si>
  <si>
    <t>534.450 Property &amp; Auto</t>
  </si>
  <si>
    <t>534.450 Worker's Comp</t>
  </si>
  <si>
    <t>Plant Operations</t>
  </si>
  <si>
    <t>534.460 Repairs &amp; Maintenance</t>
  </si>
  <si>
    <t>534.460 Tank Maintenance &amp; Inspection</t>
  </si>
  <si>
    <t>534.461 Emergency Repairs</t>
  </si>
  <si>
    <t>534.521 Water Plant Operation</t>
  </si>
  <si>
    <t>534.521 DEP Water License</t>
  </si>
  <si>
    <t>Management Fee</t>
  </si>
  <si>
    <t>534.490 Office Lease</t>
  </si>
  <si>
    <t>Miscellaneous Expenditures</t>
  </si>
  <si>
    <t>534.491 Miscellaneous</t>
  </si>
  <si>
    <t>534.511 Office Supplies &amp; Expenses</t>
  </si>
  <si>
    <t>534.522 Uniforms</t>
  </si>
  <si>
    <t>534.550 Bad Debts</t>
  </si>
  <si>
    <t>534.640 Capital</t>
  </si>
  <si>
    <t>Contingency &amp; Repairs</t>
  </si>
  <si>
    <t>534.940 Contingency</t>
  </si>
  <si>
    <t>534.950 Increase Reserves</t>
  </si>
  <si>
    <t>Testing</t>
  </si>
  <si>
    <t>534.523 Testing</t>
  </si>
  <si>
    <t>534.440 Interest Bonds</t>
  </si>
  <si>
    <t>534.700 Debt Service Sinking</t>
  </si>
  <si>
    <t>534.700 Debt Service Reserves</t>
  </si>
  <si>
    <t>FDOT Promissory Note</t>
  </si>
  <si>
    <t>Curley Water Line</t>
  </si>
  <si>
    <t>534.100 Salaries &amp; Wages</t>
  </si>
  <si>
    <t>534.210 Payroll Taxes</t>
  </si>
  <si>
    <t>534.220 FRS</t>
  </si>
  <si>
    <t>534.230 Group Health</t>
  </si>
  <si>
    <t>534.231 Short Term Disability</t>
  </si>
  <si>
    <t>Computer Supplies &amp; Postage</t>
  </si>
  <si>
    <t>534.512 Utility Billing Supplies</t>
  </si>
  <si>
    <t>534.513 Technology</t>
  </si>
  <si>
    <t>WAGES &amp; BENEFITS</t>
  </si>
  <si>
    <t>Proposed Pay Increase</t>
  </si>
  <si>
    <t>Insurance Premiums</t>
  </si>
  <si>
    <t>CC</t>
  </si>
  <si>
    <t>PWD</t>
  </si>
  <si>
    <t>AC</t>
  </si>
  <si>
    <t>PWT A</t>
  </si>
  <si>
    <t>PWT B</t>
  </si>
  <si>
    <t>CITY CLERK</t>
  </si>
  <si>
    <t>Total</t>
  </si>
  <si>
    <t>Rate</t>
  </si>
  <si>
    <t>Base Pay</t>
  </si>
  <si>
    <t>Overtime</t>
  </si>
  <si>
    <t>BCBS Total</t>
  </si>
  <si>
    <t>FRS (Employer)</t>
  </si>
  <si>
    <t>BCBS + FMIT</t>
  </si>
  <si>
    <t>Colonial - Short Term</t>
  </si>
  <si>
    <t>Medical</t>
  </si>
  <si>
    <t>Short Term Disability</t>
  </si>
  <si>
    <t>Workers Comp</t>
  </si>
  <si>
    <t>Total City Expenses</t>
  </si>
  <si>
    <t>Total Hourly Rate</t>
  </si>
  <si>
    <t>Public Works Director</t>
  </si>
  <si>
    <t>Water Clerk</t>
  </si>
  <si>
    <t>Assistant to Clerk</t>
  </si>
  <si>
    <t>Public Works Tech A</t>
  </si>
  <si>
    <t>Public Works Tech B</t>
  </si>
  <si>
    <t>Meter Reader</t>
  </si>
  <si>
    <t>FRS</t>
  </si>
  <si>
    <t>OVERALL TOTALS</t>
  </si>
  <si>
    <t>TOTAL WAGES</t>
  </si>
  <si>
    <t xml:space="preserve">BUDGET SUMMARY  </t>
  </si>
  <si>
    <t>GENERAL FUND MILLAGE PER $1,000</t>
  </si>
  <si>
    <t>GENERAL</t>
  </si>
  <si>
    <t>ENTERPRISE</t>
  </si>
  <si>
    <t>TOTAL ALL</t>
  </si>
  <si>
    <t>ESTIMATED REVENUES</t>
  </si>
  <si>
    <t>FUND</t>
  </si>
  <si>
    <t>FUNDS</t>
  </si>
  <si>
    <t>CHARGES FOR SERVICES</t>
  </si>
  <si>
    <t xml:space="preserve">ESTIMATED REVENUE </t>
  </si>
  <si>
    <t>RESERVES</t>
  </si>
  <si>
    <t>TOTAL ESTIMATED REVENUE &amp; BALANCES</t>
  </si>
  <si>
    <t>EXPENDITURES/EXPENSES</t>
  </si>
  <si>
    <t>TOTAL APPROPRIATED EXPENDITURES,</t>
  </si>
  <si>
    <t>RESERVES, &amp; BALANCES</t>
  </si>
  <si>
    <t xml:space="preserve"> THE TENTATIVE, ADOPTED, AND/OR FINAL BUDGETS ARE ON FILE IN THE OFFICE</t>
  </si>
  <si>
    <t xml:space="preserve"> OF THE ABOVE REFERENCED TAXING AUTHORITY AS A PUBLIC RECORD.</t>
  </si>
  <si>
    <t>FY 24-25</t>
  </si>
  <si>
    <t>572.649 Capital Parks Beautification</t>
  </si>
  <si>
    <t>207.101 Water Loan Interest</t>
  </si>
  <si>
    <t>207.101 Water Line Principal</t>
  </si>
  <si>
    <t>GENERAL FUND
REVENUES FY 25-26</t>
  </si>
  <si>
    <t>Adopted Budget 24-25</t>
  </si>
  <si>
    <t>Proposed Budget 25-26</t>
  </si>
  <si>
    <t>GTV 24</t>
  </si>
  <si>
    <t>Through 06/30/25</t>
  </si>
  <si>
    <t>Extrapolated To 09/30/25</t>
  </si>
  <si>
    <t>GENERAL FUND
EXPENDITURES FY 25-26</t>
  </si>
  <si>
    <t>WATER FUND 
EXPENDITURES FY 25-26</t>
  </si>
  <si>
    <t>FY 25-26</t>
  </si>
  <si>
    <t>XXX.XXX Palm &amp; Meadow</t>
  </si>
  <si>
    <t>WATER FUND
REVENUE FY 25-26</t>
  </si>
  <si>
    <t>Lobbying</t>
  </si>
  <si>
    <t>519.312 Lobbying</t>
  </si>
  <si>
    <t>2025 Rate</t>
  </si>
  <si>
    <t>2026 Rate (Estimate)</t>
  </si>
  <si>
    <t>XXX.XXX Palm &amp; Meadow Grant</t>
  </si>
  <si>
    <t>242.100 FDOT Promissory Note</t>
  </si>
  <si>
    <t>CITY OF SAN ANTONIO - FISCAL YEAR 2025 - 2026</t>
  </si>
  <si>
    <t>XXX.XXX Elevated Water Tower</t>
  </si>
  <si>
    <t>XXX.XXX SCADA System &amp; Generator</t>
  </si>
  <si>
    <r>
      <t xml:space="preserve">THE PROPOSED OPERATING BUDGET EXPENDITURES OF THE CITY OF SAN ANTONIO ARE </t>
    </r>
    <r>
      <rPr>
        <b/>
        <sz val="18"/>
        <rFont val="Arial"/>
        <family val="2"/>
      </rPr>
      <t>59.1%</t>
    </r>
    <r>
      <rPr>
        <b/>
        <sz val="18"/>
        <color theme="1"/>
        <rFont val="Arial"/>
        <family val="2"/>
      </rPr>
      <t xml:space="preserve"> MORE THAN LAST YEAR'S TOTAL OPERATING EXPENDITURES.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</si>
</sst>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0"/>
    <numFmt numFmtId="165" formatCode="_(&quot;$&quot;* #,##0.00_);_(&quot;$&quot;* \(#,##0.00\);_(&quot;$&quot;* &quot;-&quot;_);_(@_)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00">
    <xf numFmtId="0" fontId="0" fillId="0" borderId="0" xfId="0"/>
    <xf numFmtId="0" fontId="1" fillId="0" borderId="0" xfId="0" applyFont="1"/>
    <xf numFmtId="42" fontId="0" fillId="0" borderId="0" xfId="0" applyNumberFormat="1"/>
    <xf numFmtId="44" fontId="0" fillId="0" borderId="0" xfId="0" applyNumberFormat="1"/>
    <xf numFmtId="42" fontId="1" fillId="0" borderId="0" xfId="0" applyNumberFormat="1" applyFont="1"/>
    <xf numFmtId="44" fontId="1" fillId="0" borderId="0" xfId="0" applyNumberFormat="1" applyFont="1"/>
    <xf numFmtId="0" fontId="0" fillId="0" borderId="0" xfId="0" applyAlignment="1">
      <alignment horizontal="left"/>
    </xf>
    <xf numFmtId="10" fontId="0" fillId="0" borderId="0" xfId="0" applyNumberFormat="1"/>
    <xf numFmtId="9" fontId="0" fillId="0" borderId="0" xfId="1" applyFont="1"/>
    <xf numFmtId="164" fontId="0" fillId="0" borderId="0" xfId="0" applyNumberFormat="1"/>
    <xf numFmtId="0" fontId="3" fillId="0" borderId="0" xfId="0" applyFont="1"/>
    <xf numFmtId="42" fontId="3" fillId="0" borderId="0" xfId="0" applyNumberFormat="1" applyFont="1"/>
    <xf numFmtId="0" fontId="4" fillId="0" borderId="0" xfId="0" applyFont="1"/>
    <xf numFmtId="42" fontId="0" fillId="0" borderId="0" xfId="0" applyNumberFormat="1" applyAlignment="1">
      <alignment horizontal="center" vertical="center" wrapText="1"/>
    </xf>
    <xf numFmtId="0" fontId="1" fillId="3" borderId="0" xfId="0" applyFont="1" applyFill="1"/>
    <xf numFmtId="42" fontId="1" fillId="3" borderId="0" xfId="0" applyNumberFormat="1" applyFont="1" applyFill="1"/>
    <xf numFmtId="0" fontId="1" fillId="4" borderId="0" xfId="0" applyFont="1" applyFill="1"/>
    <xf numFmtId="42" fontId="1" fillId="4" borderId="0" xfId="0" applyNumberFormat="1" applyFont="1" applyFill="1"/>
    <xf numFmtId="0" fontId="0" fillId="0" borderId="0" xfId="0" applyAlignment="1">
      <alignment horizontal="center" vertical="center" wrapText="1"/>
    </xf>
    <xf numFmtId="0" fontId="1" fillId="5" borderId="0" xfId="0" applyFont="1" applyFill="1"/>
    <xf numFmtId="42" fontId="1" fillId="5" borderId="0" xfId="0" applyNumberFormat="1" applyFont="1" applyFill="1"/>
    <xf numFmtId="0" fontId="0" fillId="0" borderId="0" xfId="0" applyAlignment="1">
      <alignment horizontal="center" vertical="center"/>
    </xf>
    <xf numFmtId="0" fontId="1" fillId="6" borderId="0" xfId="0" applyFont="1" applyFill="1"/>
    <xf numFmtId="42" fontId="1" fillId="6" borderId="0" xfId="0" applyNumberFormat="1" applyFont="1" applyFill="1"/>
    <xf numFmtId="0" fontId="1" fillId="6" borderId="1" xfId="0" applyFont="1" applyFill="1" applyBorder="1"/>
    <xf numFmtId="42" fontId="1" fillId="6" borderId="2" xfId="0" applyNumberFormat="1" applyFont="1" applyFill="1" applyBorder="1"/>
    <xf numFmtId="42" fontId="1" fillId="6" borderId="3" xfId="0" applyNumberFormat="1" applyFont="1" applyFill="1" applyBorder="1"/>
    <xf numFmtId="0" fontId="1" fillId="7" borderId="0" xfId="0" applyFont="1" applyFill="1"/>
    <xf numFmtId="42" fontId="1" fillId="7" borderId="0" xfId="0" applyNumberFormat="1" applyFont="1" applyFill="1"/>
    <xf numFmtId="0" fontId="0" fillId="8" borderId="0" xfId="0" applyFill="1"/>
    <xf numFmtId="42" fontId="0" fillId="8" borderId="0" xfId="0" applyNumberFormat="1" applyFill="1"/>
    <xf numFmtId="0" fontId="1" fillId="2" borderId="0" xfId="2" applyFont="1" applyAlignment="1">
      <alignment horizontal="center"/>
    </xf>
    <xf numFmtId="42" fontId="1" fillId="2" borderId="0" xfId="2" applyNumberFormat="1" applyFont="1" applyAlignment="1">
      <alignment horizontal="center"/>
    </xf>
    <xf numFmtId="44" fontId="1" fillId="2" borderId="0" xfId="2" applyNumberFormat="1" applyFont="1" applyAlignment="1">
      <alignment horizontal="center"/>
    </xf>
    <xf numFmtId="9" fontId="1" fillId="2" borderId="0" xfId="1" applyFont="1" applyFill="1" applyAlignment="1">
      <alignment horizontal="center"/>
    </xf>
    <xf numFmtId="9" fontId="1" fillId="9" borderId="0" xfId="1" applyFont="1" applyFill="1"/>
    <xf numFmtId="44" fontId="0" fillId="9" borderId="0" xfId="0" applyNumberFormat="1" applyFill="1"/>
    <xf numFmtId="0" fontId="0" fillId="9" borderId="0" xfId="0" applyFill="1"/>
    <xf numFmtId="9" fontId="1" fillId="3" borderId="0" xfId="1" applyFont="1" applyFill="1"/>
    <xf numFmtId="0" fontId="0" fillId="0" borderId="4" xfId="0" applyBorder="1"/>
    <xf numFmtId="42" fontId="0" fillId="0" borderId="4" xfId="0" applyNumberFormat="1" applyBorder="1"/>
    <xf numFmtId="44" fontId="0" fillId="0" borderId="4" xfId="0" applyNumberFormat="1" applyBorder="1"/>
    <xf numFmtId="42" fontId="0" fillId="0" borderId="5" xfId="0" applyNumberFormat="1" applyBorder="1"/>
    <xf numFmtId="42" fontId="0" fillId="0" borderId="6" xfId="0" applyNumberFormat="1" applyBorder="1"/>
    <xf numFmtId="44" fontId="0" fillId="0" borderId="7" xfId="0" applyNumberFormat="1" applyBorder="1"/>
    <xf numFmtId="44" fontId="0" fillId="0" borderId="8" xfId="0" applyNumberFormat="1" applyBorder="1"/>
    <xf numFmtId="0" fontId="1" fillId="0" borderId="4" xfId="0" applyFont="1" applyBorder="1"/>
    <xf numFmtId="42" fontId="1" fillId="0" borderId="4" xfId="0" applyNumberFormat="1" applyFont="1" applyBorder="1"/>
    <xf numFmtId="44" fontId="1" fillId="0" borderId="8" xfId="0" applyNumberFormat="1" applyFont="1" applyBorder="1"/>
    <xf numFmtId="0" fontId="3" fillId="0" borderId="4" xfId="0" applyFont="1" applyBorder="1"/>
    <xf numFmtId="42" fontId="3" fillId="0" borderId="4" xfId="0" applyNumberFormat="1" applyFont="1" applyBorder="1"/>
    <xf numFmtId="42" fontId="3" fillId="0" borderId="5" xfId="0" applyNumberFormat="1" applyFont="1" applyBorder="1"/>
    <xf numFmtId="44" fontId="3" fillId="0" borderId="9" xfId="0" applyNumberFormat="1" applyFont="1" applyBorder="1"/>
    <xf numFmtId="42" fontId="3" fillId="0" borderId="6" xfId="0" applyNumberFormat="1" applyFont="1" applyBorder="1"/>
    <xf numFmtId="44" fontId="0" fillId="0" borderId="10" xfId="0" applyNumberFormat="1" applyBorder="1"/>
    <xf numFmtId="44" fontId="1" fillId="0" borderId="11" xfId="0" applyNumberFormat="1" applyFont="1" applyBorder="1"/>
    <xf numFmtId="0" fontId="9" fillId="0" borderId="0" xfId="0" applyFont="1"/>
    <xf numFmtId="42" fontId="9" fillId="0" borderId="0" xfId="0" applyNumberFormat="1" applyFont="1"/>
    <xf numFmtId="42" fontId="6" fillId="0" borderId="0" xfId="0" applyNumberFormat="1" applyFont="1"/>
    <xf numFmtId="0" fontId="6" fillId="0" borderId="0" xfId="0" applyFont="1"/>
    <xf numFmtId="42" fontId="8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42" fontId="6" fillId="0" borderId="0" xfId="0" applyNumberFormat="1" applyFont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0" fontId="6" fillId="10" borderId="15" xfId="0" applyFont="1" applyFill="1" applyBorder="1"/>
    <xf numFmtId="0" fontId="6" fillId="0" borderId="16" xfId="0" applyFont="1" applyBorder="1" applyAlignment="1">
      <alignment horizontal="center"/>
    </xf>
    <xf numFmtId="0" fontId="7" fillId="0" borderId="15" xfId="0" applyFont="1" applyBorder="1"/>
    <xf numFmtId="0" fontId="6" fillId="0" borderId="15" xfId="0" applyFont="1" applyBorder="1"/>
    <xf numFmtId="42" fontId="6" fillId="0" borderId="16" xfId="0" applyNumberFormat="1" applyFont="1" applyBorder="1"/>
    <xf numFmtId="0" fontId="8" fillId="0" borderId="15" xfId="0" applyFont="1" applyBorder="1"/>
    <xf numFmtId="42" fontId="8" fillId="0" borderId="16" xfId="0" applyNumberFormat="1" applyFont="1" applyBorder="1"/>
    <xf numFmtId="0" fontId="8" fillId="0" borderId="16" xfId="0" applyFont="1" applyBorder="1"/>
    <xf numFmtId="164" fontId="6" fillId="10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5" fontId="3" fillId="0" borderId="6" xfId="0" applyNumberFormat="1" applyFont="1" applyBorder="1"/>
    <xf numFmtId="16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2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9" borderId="0" xfId="0" applyFont="1" applyFill="1" applyAlignment="1">
      <alignment horizontal="righ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</cellXfs>
  <cellStyles count="3">
    <cellStyle name="40% - Accent6" xfId="2" builtinId="51"/>
    <cellStyle name="Normal" xfId="0" builtinId="0"/>
    <cellStyle name="Percent" xfId="1" builtinId="5"/>
  </cellStyles>
  <dxfs count="20"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ssa Morales" id="{44B08A2C-B7EE-46A7-913F-D6663B4AFBFA}" userId="S::cityclerk@sanantonioflorida.org::df7444ce-466f-456f-93f9-f9dcb38520f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3F1335-1915-4472-9566-B5EE57300AA1}" name="Table1" displayName="Table1" ref="A2:E97" totalsRowShown="0" headerRowDxfId="19">
  <autoFilter ref="A2:E97" xr:uid="{3B3F1335-1915-4472-9566-B5EE57300AA1}"/>
  <tableColumns count="5">
    <tableColumn id="1" xr3:uid="{7B40D3AD-1963-4971-B537-D46E1A364A5A}" name="Source"/>
    <tableColumn id="2" xr3:uid="{8A2BDBC8-1461-48A5-97C7-B74CA0D96C7B}" name="Through 06/30/25" dataDxfId="18"/>
    <tableColumn id="3" xr3:uid="{7E764F55-1230-4341-BD04-1A465DA2D468}" name="Extrapolated To 09/30/25" dataDxfId="17"/>
    <tableColumn id="4" xr3:uid="{E34103F3-A418-4756-A5FA-8BF5D133A446}" name="Adopted Budget 24-25" dataDxfId="16"/>
    <tableColumn id="5" xr3:uid="{3A26A322-19B6-4B94-B66D-66C168E17431}" name="Proposed Budget 25-26" dataDxfId="15"/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22128F-5B57-497E-B046-FAF6EDC1873B}" name="Table2" displayName="Table2" ref="A2:E124" totalsRowCount="1" headerRowDxfId="14">
  <autoFilter ref="A2:E123" xr:uid="{B922128F-5B57-497E-B046-FAF6EDC1873B}"/>
  <tableColumns count="5">
    <tableColumn id="1" xr3:uid="{0B1DFC34-EBAD-4FC6-90EC-267A13C093C7}" name="Source"/>
    <tableColumn id="2" xr3:uid="{D82E6A45-AFC8-4BF2-AE1E-05294D419B7A}" name="Through 06/30/25" totalsRowDxfId="13"/>
    <tableColumn id="3" xr3:uid="{A5F8A806-D666-4EF4-83B9-9651E75ABB5D}" name="Extrapolated To 09/30/25" totalsRowDxfId="12"/>
    <tableColumn id="4" xr3:uid="{DDDD9244-BEBE-48B1-98B8-1EDB7216468A}" name="Adopted Budget 24-25" totalsRowDxfId="11"/>
    <tableColumn id="5" xr3:uid="{C903D6E2-2356-406E-B950-FE4EC0E1CF69}" name="Proposed Budget 25-26" totalsRowFunction="custom" totalsRowDxfId="10">
      <totalsRowFormula>E123-E57</totalsRow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DF9F96-4BC2-4889-8E78-222551359FB7}" name="Table3" displayName="Table3" ref="A2:E54" totalsRowShown="0" headerRowDxfId="9">
  <autoFilter ref="A2:E54" xr:uid="{50DF9F96-4BC2-4889-8E78-222551359FB7}"/>
  <tableColumns count="5">
    <tableColumn id="1" xr3:uid="{5525B99D-9EB0-4EFC-8965-BDEC6F4D0B73}" name="Source"/>
    <tableColumn id="2" xr3:uid="{4BD07471-0908-4C39-8EB7-82D5CB72E4DA}" name="Through 06/30/25" dataDxfId="8"/>
    <tableColumn id="3" xr3:uid="{EA35DE32-7C94-4B03-8EA3-BE33249D9E51}" name="Extrapolated To 09/30/25" dataDxfId="7"/>
    <tableColumn id="4" xr3:uid="{0F36877B-EAB8-4887-B0CD-60DAA88094AE}" name="Adopted Budget 24-25" dataDxfId="6"/>
    <tableColumn id="5" xr3:uid="{AF897396-951B-41FE-B123-79F7361EEDA9}" name="Proposed Budget 25-26" dataDxfId="5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7BA84E-FF2A-463F-87E2-1000ABD2AC46}" name="Table5" displayName="Table5" ref="A57:E147" totalsRowShown="0" headerRowDxfId="4">
  <autoFilter ref="A57:E147" xr:uid="{5D7BA84E-FF2A-463F-87E2-1000ABD2AC46}"/>
  <tableColumns count="5">
    <tableColumn id="1" xr3:uid="{5C95E826-E5E0-4D2B-9A12-6F823126E2C2}" name="SOURCE"/>
    <tableColumn id="2" xr3:uid="{C8531710-EB0D-4272-AB9A-9C8906398B95}" name="Through 06/30/25" dataDxfId="3"/>
    <tableColumn id="3" xr3:uid="{E95F486D-E3DB-4DF6-A1FD-EA8AAEC179EA}" name="Extrapolated To 09/30/25" dataDxfId="2"/>
    <tableColumn id="4" xr3:uid="{1EF54FDF-5157-41EC-84EC-3A1643A29B24}" name="Adopted Budget 24-25" dataDxfId="1"/>
    <tableColumn id="5" xr3:uid="{BDB3D5D8-936E-4F21-9163-39F1D4B77F35}" name="Proposed Budget 25-26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1" dT="2025-08-07T17:03:35.14" personId="{44B08A2C-B7EE-46A7-913F-D6663B4AFBFA}" id="{A72EC23E-F984-48E9-B136-FC1AA5215AB3}">
    <text>Gen Liability + Cyber Liability, 50% with WF</text>
  </threadedComment>
  <threadedComment ref="A32" dT="2025-08-07T17:03:54.48" personId="{44B08A2C-B7EE-46A7-913F-D6663B4AFBFA}" id="{006764CF-2EE4-4222-A92A-D5532F538169}">
    <text>WF % based on payroll</text>
  </threadedComment>
  <threadedComment ref="A33" dT="2025-08-07T17:04:07.46" personId="{44B08A2C-B7EE-46A7-913F-D6663B4AFBFA}" id="{7D5412FF-4C81-4AAB-AD1F-2040F7C4DAC3}">
    <text>WF % for auto based on payroll, Property 50%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71" dT="2025-08-21T18:56:11.60" personId="{44B08A2C-B7EE-46A7-913F-D6663B4AFBFA}" id="{86735AB8-2666-4828-842C-9746F962267B}">
    <text>Office/Fire Station TECO Reimbursement</text>
  </threadedComment>
  <threadedComment ref="B79" dT="2024-08-08T17:43:43.34" personId="{44B08A2C-B7EE-46A7-913F-D6663B4AFBFA}" id="{5B14D67C-D07A-4064-8CF7-12F563459356}">
    <text>Includes 534.460 GL expenses and RM Solutions Hydrant Flow Test from 534.340</text>
  </threadedComment>
  <threadedComment ref="B89" dT="2024-08-08T17:44:48.95" personId="{44B08A2C-B7EE-46A7-913F-D6663B4AFBFA}" id="{BD2B557D-8CDC-4CA2-AF5B-BCB7D09C21F8}">
    <text>Includes Legal Ads from 534.340</text>
  </threadedComment>
  <threadedComment ref="B145" dT="2024-08-08T18:03:29.65" personId="{44B08A2C-B7EE-46A7-913F-D6663B4AFBFA}" id="{097DCF63-C2F2-4091-89C9-37DEF9105DC6}">
    <text>gWorks payment + phones/well internet reimburse from GF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C300-67CD-4489-A9BA-493126C50DB1}">
  <sheetPr>
    <pageSetUpPr fitToPage="1"/>
  </sheetPr>
  <dimension ref="A1:H97"/>
  <sheetViews>
    <sheetView tabSelected="1" zoomScale="210" zoomScaleNormal="210" workbookViewId="0">
      <selection activeCell="G9" sqref="G9"/>
    </sheetView>
  </sheetViews>
  <sheetFormatPr defaultRowHeight="15" x14ac:dyDescent="0.25"/>
  <cols>
    <col min="1" max="1" width="29.28515625" bestFit="1" customWidth="1"/>
    <col min="2" max="5" width="15.7109375" style="2" customWidth="1"/>
    <col min="7" max="7" width="18.140625" bestFit="1" customWidth="1"/>
    <col min="8" max="8" width="15.7109375" style="2" bestFit="1" customWidth="1"/>
  </cols>
  <sheetData>
    <row r="1" spans="1:8" ht="30" customHeight="1" x14ac:dyDescent="0.25">
      <c r="A1" s="80" t="s">
        <v>291</v>
      </c>
      <c r="B1" s="80"/>
      <c r="C1" s="80"/>
      <c r="D1" s="80"/>
      <c r="E1" s="80"/>
    </row>
    <row r="2" spans="1:8" ht="24" customHeight="1" x14ac:dyDescent="0.25">
      <c r="A2" s="18" t="s">
        <v>0</v>
      </c>
      <c r="B2" s="13" t="s">
        <v>295</v>
      </c>
      <c r="C2" s="13" t="s">
        <v>296</v>
      </c>
      <c r="D2" s="13" t="s">
        <v>292</v>
      </c>
      <c r="E2" s="13" t="s">
        <v>293</v>
      </c>
    </row>
    <row r="3" spans="1:8" s="1" customFormat="1" x14ac:dyDescent="0.25">
      <c r="A3" s="14" t="s">
        <v>1</v>
      </c>
      <c r="B3" s="15">
        <f>B4</f>
        <v>487951.72</v>
      </c>
      <c r="C3" s="15">
        <f>C4</f>
        <v>487951.72</v>
      </c>
      <c r="D3" s="15">
        <v>498758.8493</v>
      </c>
      <c r="E3" s="15">
        <f>E4</f>
        <v>558137.03847789997</v>
      </c>
      <c r="G3" s="79" t="s">
        <v>2</v>
      </c>
      <c r="H3" s="79"/>
    </row>
    <row r="4" spans="1:8" x14ac:dyDescent="0.25">
      <c r="A4" t="s">
        <v>3</v>
      </c>
      <c r="B4" s="2">
        <v>487951.72</v>
      </c>
      <c r="C4" s="2">
        <f>Table1[[#This Row],[Through 06/30/25]]</f>
        <v>487951.72</v>
      </c>
      <c r="D4" s="2">
        <v>498758.8493</v>
      </c>
      <c r="E4" s="2">
        <f>H8</f>
        <v>558137.03847789997</v>
      </c>
      <c r="G4" s="6" t="s">
        <v>294</v>
      </c>
      <c r="H4" s="2">
        <v>156004427</v>
      </c>
    </row>
    <row r="5" spans="1:8" x14ac:dyDescent="0.25">
      <c r="A5" s="29"/>
      <c r="B5" s="30"/>
      <c r="C5" s="30"/>
      <c r="D5" s="30"/>
      <c r="E5" s="30"/>
      <c r="G5" s="6" t="s">
        <v>4</v>
      </c>
      <c r="H5" s="9">
        <v>3.7</v>
      </c>
    </row>
    <row r="6" spans="1:8" s="1" customFormat="1" x14ac:dyDescent="0.25">
      <c r="A6" s="14" t="s">
        <v>5</v>
      </c>
      <c r="B6" s="15">
        <f>SUM(B7,B11,B14,B19,B22,B25)</f>
        <v>213688.78000000003</v>
      </c>
      <c r="C6" s="15">
        <f>SUM(C7,C11,C14,C19,C22,C25)</f>
        <v>284932.619252</v>
      </c>
      <c r="D6" s="15">
        <v>250200</v>
      </c>
      <c r="E6" s="15">
        <f>SUM(E7,E11,E14,E19,E22,E25)</f>
        <v>281900</v>
      </c>
      <c r="G6" s="6" t="s">
        <v>6</v>
      </c>
      <c r="H6" s="9">
        <v>3.5777000000000001</v>
      </c>
    </row>
    <row r="7" spans="1:8" x14ac:dyDescent="0.25">
      <c r="A7" s="10" t="s">
        <v>7</v>
      </c>
      <c r="B7" s="11">
        <f>SUM(B8:B9)</f>
        <v>43264.729999999996</v>
      </c>
      <c r="C7" s="11">
        <f>SUM(C8:C9)</f>
        <v>57689.190981999993</v>
      </c>
      <c r="D7" s="11">
        <v>80000</v>
      </c>
      <c r="E7" s="11">
        <f>SUM(E8:E9)</f>
        <v>70000</v>
      </c>
      <c r="G7" s="76" t="s">
        <v>8</v>
      </c>
      <c r="H7" s="76"/>
    </row>
    <row r="8" spans="1:8" x14ac:dyDescent="0.25">
      <c r="A8" t="s">
        <v>9</v>
      </c>
      <c r="B8" s="2">
        <v>25168.11</v>
      </c>
      <c r="C8" s="2">
        <f>B8*1.3334</f>
        <v>33559.157873999997</v>
      </c>
      <c r="D8" s="2">
        <v>50000</v>
      </c>
      <c r="E8" s="2">
        <v>40000</v>
      </c>
      <c r="G8" s="9">
        <v>3.5777000000000001</v>
      </c>
      <c r="H8" s="2">
        <f>(H4*G8)/1000</f>
        <v>558137.03847789997</v>
      </c>
    </row>
    <row r="9" spans="1:8" x14ac:dyDescent="0.25">
      <c r="A9" t="s">
        <v>10</v>
      </c>
      <c r="B9" s="2">
        <v>18096.62</v>
      </c>
      <c r="C9" s="2">
        <f>B9*1.3334</f>
        <v>24130.033107999996</v>
      </c>
      <c r="D9" s="2">
        <v>30000</v>
      </c>
      <c r="E9" s="2">
        <v>30000</v>
      </c>
    </row>
    <row r="10" spans="1:8" x14ac:dyDescent="0.25">
      <c r="A10" s="29"/>
      <c r="B10" s="30"/>
      <c r="C10" s="30"/>
      <c r="D10" s="30"/>
      <c r="E10" s="30"/>
    </row>
    <row r="11" spans="1:8" x14ac:dyDescent="0.25">
      <c r="A11" s="10" t="s">
        <v>11</v>
      </c>
      <c r="B11" s="11">
        <f>B12</f>
        <v>9479.1299999999992</v>
      </c>
      <c r="C11" s="11">
        <f>C12</f>
        <v>12639.471941999998</v>
      </c>
      <c r="D11" s="11">
        <v>10000</v>
      </c>
      <c r="E11" s="11">
        <f>E12</f>
        <v>10000</v>
      </c>
    </row>
    <row r="12" spans="1:8" x14ac:dyDescent="0.25">
      <c r="A12" t="s">
        <v>12</v>
      </c>
      <c r="B12" s="2">
        <v>9479.1299999999992</v>
      </c>
      <c r="C12" s="2">
        <f>B12*1.3334</f>
        <v>12639.471941999998</v>
      </c>
      <c r="D12" s="2">
        <v>10000</v>
      </c>
      <c r="E12" s="2">
        <v>10000</v>
      </c>
    </row>
    <row r="13" spans="1:8" x14ac:dyDescent="0.25">
      <c r="A13" s="29"/>
      <c r="B13" s="30"/>
      <c r="C13" s="30"/>
      <c r="D13" s="30"/>
      <c r="E13" s="30"/>
    </row>
    <row r="14" spans="1:8" x14ac:dyDescent="0.25">
      <c r="A14" s="10" t="s">
        <v>13</v>
      </c>
      <c r="B14" s="11">
        <f>SUM(B15:B17)</f>
        <v>92286.680000000008</v>
      </c>
      <c r="C14" s="11">
        <f>SUM(C15:C17)</f>
        <v>123055.05911199999</v>
      </c>
      <c r="D14" s="11">
        <v>81200</v>
      </c>
      <c r="E14" s="11">
        <f>SUM(E15:E17)</f>
        <v>120200</v>
      </c>
    </row>
    <row r="15" spans="1:8" x14ac:dyDescent="0.25">
      <c r="A15" t="s">
        <v>14</v>
      </c>
      <c r="B15" s="2">
        <v>77699.55</v>
      </c>
      <c r="C15" s="2">
        <f>B15*1.3334</f>
        <v>103604.57996999999</v>
      </c>
      <c r="D15" s="2">
        <v>75000</v>
      </c>
      <c r="E15" s="2">
        <v>100000</v>
      </c>
    </row>
    <row r="16" spans="1:8" x14ac:dyDescent="0.25">
      <c r="A16" t="s">
        <v>15</v>
      </c>
      <c r="B16" s="2">
        <v>217.63</v>
      </c>
      <c r="C16" s="2">
        <f>B16*1.3334</f>
        <v>290.18784199999999</v>
      </c>
      <c r="D16" s="2">
        <v>200</v>
      </c>
      <c r="E16" s="2">
        <v>200</v>
      </c>
    </row>
    <row r="17" spans="1:8" x14ac:dyDescent="0.25">
      <c r="A17" t="s">
        <v>16</v>
      </c>
      <c r="B17" s="2">
        <v>14369.5</v>
      </c>
      <c r="C17" s="2">
        <f>B17*1.3334</f>
        <v>19160.291299999997</v>
      </c>
      <c r="D17" s="2">
        <v>6000</v>
      </c>
      <c r="E17" s="2">
        <v>20000</v>
      </c>
    </row>
    <row r="18" spans="1:8" x14ac:dyDescent="0.25">
      <c r="A18" s="29"/>
      <c r="B18" s="30"/>
      <c r="C18" s="30"/>
      <c r="D18" s="30"/>
      <c r="E18" s="30"/>
    </row>
    <row r="19" spans="1:8" s="10" customFormat="1" x14ac:dyDescent="0.25">
      <c r="A19" s="10" t="s">
        <v>17</v>
      </c>
      <c r="B19" s="11">
        <f>B20</f>
        <v>1237.5</v>
      </c>
      <c r="C19" s="11">
        <f>C20</f>
        <v>1650.0825</v>
      </c>
      <c r="D19" s="11">
        <v>1500</v>
      </c>
      <c r="E19" s="11">
        <f>E20</f>
        <v>1500</v>
      </c>
      <c r="H19" s="11"/>
    </row>
    <row r="20" spans="1:8" x14ac:dyDescent="0.25">
      <c r="A20" t="s">
        <v>18</v>
      </c>
      <c r="B20" s="2">
        <v>1237.5</v>
      </c>
      <c r="C20" s="2">
        <f>B20*1.3334</f>
        <v>1650.0825</v>
      </c>
      <c r="D20" s="2">
        <v>1500</v>
      </c>
      <c r="E20" s="2">
        <v>1500</v>
      </c>
    </row>
    <row r="21" spans="1:8" x14ac:dyDescent="0.25">
      <c r="A21" s="29"/>
      <c r="B21" s="30"/>
      <c r="C21" s="30"/>
      <c r="D21" s="30"/>
      <c r="E21" s="30"/>
    </row>
    <row r="22" spans="1:8" s="10" customFormat="1" x14ac:dyDescent="0.25">
      <c r="A22" s="10" t="s">
        <v>19</v>
      </c>
      <c r="B22" s="11">
        <f>B23</f>
        <v>97.89</v>
      </c>
      <c r="C22" s="11">
        <f>C23</f>
        <v>130.52652599999999</v>
      </c>
      <c r="D22" s="11">
        <v>2500</v>
      </c>
      <c r="E22" s="11">
        <f>E23</f>
        <v>200</v>
      </c>
      <c r="H22" s="11"/>
    </row>
    <row r="23" spans="1:8" x14ac:dyDescent="0.25">
      <c r="A23" t="s">
        <v>20</v>
      </c>
      <c r="B23" s="2">
        <v>97.89</v>
      </c>
      <c r="C23" s="2">
        <f>B23*1.3334</f>
        <v>130.52652599999999</v>
      </c>
      <c r="D23" s="2">
        <v>2500</v>
      </c>
      <c r="E23" s="2">
        <v>200</v>
      </c>
    </row>
    <row r="24" spans="1:8" x14ac:dyDescent="0.25">
      <c r="A24" s="29"/>
      <c r="B24" s="30"/>
      <c r="C24" s="30"/>
      <c r="D24" s="30"/>
      <c r="E24" s="30"/>
    </row>
    <row r="25" spans="1:8" s="10" customFormat="1" x14ac:dyDescent="0.25">
      <c r="A25" s="10" t="s">
        <v>21</v>
      </c>
      <c r="B25" s="11">
        <f>B26</f>
        <v>67322.850000000006</v>
      </c>
      <c r="C25" s="11">
        <f>C26</f>
        <v>89768.288190000007</v>
      </c>
      <c r="D25" s="11">
        <v>75000</v>
      </c>
      <c r="E25" s="11">
        <f>E26</f>
        <v>80000</v>
      </c>
      <c r="H25" s="11"/>
    </row>
    <row r="26" spans="1:8" x14ac:dyDescent="0.25">
      <c r="A26" t="s">
        <v>22</v>
      </c>
      <c r="B26" s="2">
        <v>67322.850000000006</v>
      </c>
      <c r="C26" s="2">
        <f>B26*1.3334</f>
        <v>89768.288190000007</v>
      </c>
      <c r="D26" s="2">
        <v>75000</v>
      </c>
      <c r="E26" s="2">
        <v>80000</v>
      </c>
    </row>
    <row r="27" spans="1:8" x14ac:dyDescent="0.25">
      <c r="A27" s="29"/>
      <c r="B27" s="30"/>
      <c r="C27" s="30"/>
      <c r="D27" s="30"/>
      <c r="E27" s="30"/>
    </row>
    <row r="28" spans="1:8" s="1" customFormat="1" x14ac:dyDescent="0.25">
      <c r="A28" s="14" t="s">
        <v>23</v>
      </c>
      <c r="B28" s="15">
        <f t="shared" ref="B28:E29" si="0">B29</f>
        <v>1125</v>
      </c>
      <c r="C28" s="15">
        <f t="shared" si="0"/>
        <v>1500</v>
      </c>
      <c r="D28" s="15">
        <v>1500</v>
      </c>
      <c r="E28" s="15">
        <f t="shared" si="0"/>
        <v>1500</v>
      </c>
      <c r="H28" s="4"/>
    </row>
    <row r="29" spans="1:8" s="10" customFormat="1" x14ac:dyDescent="0.25">
      <c r="A29" s="10" t="s">
        <v>24</v>
      </c>
      <c r="B29" s="11">
        <f t="shared" si="0"/>
        <v>1125</v>
      </c>
      <c r="C29" s="11">
        <f t="shared" si="0"/>
        <v>1500</v>
      </c>
      <c r="D29" s="11">
        <v>1500</v>
      </c>
      <c r="E29" s="11">
        <f t="shared" si="0"/>
        <v>1500</v>
      </c>
      <c r="H29" s="11"/>
    </row>
    <row r="30" spans="1:8" x14ac:dyDescent="0.25">
      <c r="A30" t="s">
        <v>25</v>
      </c>
      <c r="B30" s="2">
        <v>1125</v>
      </c>
      <c r="C30" s="2">
        <v>1500</v>
      </c>
      <c r="D30" s="2">
        <v>1500</v>
      </c>
      <c r="E30" s="2">
        <v>1500</v>
      </c>
    </row>
    <row r="31" spans="1:8" x14ac:dyDescent="0.25">
      <c r="A31" s="29"/>
      <c r="B31" s="30"/>
      <c r="C31" s="30"/>
      <c r="D31" s="30"/>
      <c r="E31" s="30"/>
    </row>
    <row r="32" spans="1:8" s="1" customFormat="1" x14ac:dyDescent="0.25">
      <c r="A32" s="14" t="s">
        <v>26</v>
      </c>
      <c r="B32" s="15">
        <f>SUM(B33,B36,B42)</f>
        <v>611690.53</v>
      </c>
      <c r="C32" s="15">
        <f>SUM(C33,C36,C42)</f>
        <v>685858.86736799998</v>
      </c>
      <c r="D32" s="15">
        <v>1287000</v>
      </c>
      <c r="E32" s="15">
        <f>SUM(E33,E36,E42)</f>
        <v>1218350</v>
      </c>
      <c r="H32" s="4"/>
    </row>
    <row r="33" spans="1:8" s="10" customFormat="1" x14ac:dyDescent="0.25">
      <c r="A33" s="10" t="s">
        <v>27</v>
      </c>
      <c r="B33" s="11">
        <f>B34</f>
        <v>183190.48</v>
      </c>
      <c r="C33" s="11">
        <f>C34</f>
        <v>244266.186032</v>
      </c>
      <c r="D33" s="11">
        <v>200000</v>
      </c>
      <c r="E33" s="11">
        <f>E34</f>
        <v>200000</v>
      </c>
      <c r="H33" s="11"/>
    </row>
    <row r="34" spans="1:8" x14ac:dyDescent="0.25">
      <c r="A34" t="s">
        <v>28</v>
      </c>
      <c r="B34" s="2">
        <v>183190.48</v>
      </c>
      <c r="C34" s="2">
        <f>B34*1.3334</f>
        <v>244266.186032</v>
      </c>
      <c r="D34" s="2">
        <v>200000</v>
      </c>
      <c r="E34" s="2">
        <v>200000</v>
      </c>
    </row>
    <row r="35" spans="1:8" x14ac:dyDescent="0.25">
      <c r="A35" s="29"/>
      <c r="B35" s="30"/>
      <c r="C35" s="30">
        <f>B35*1.3334</f>
        <v>0</v>
      </c>
      <c r="D35" s="30"/>
      <c r="E35" s="30">
        <v>200000</v>
      </c>
    </row>
    <row r="36" spans="1:8" s="10" customFormat="1" x14ac:dyDescent="0.25">
      <c r="A36" s="10" t="s">
        <v>29</v>
      </c>
      <c r="B36" s="11">
        <f>SUM(B37:B40)</f>
        <v>389230.01</v>
      </c>
      <c r="C36" s="11">
        <f>SUM(C37:C40)</f>
        <v>389230.01</v>
      </c>
      <c r="D36" s="11">
        <f>SUM(D37:D40)</f>
        <v>1040000</v>
      </c>
      <c r="E36" s="11">
        <f>SUM(E37:E40)</f>
        <v>965350</v>
      </c>
      <c r="H36" s="11"/>
    </row>
    <row r="37" spans="1:8" x14ac:dyDescent="0.25">
      <c r="A37" t="s">
        <v>30</v>
      </c>
      <c r="B37" s="2">
        <v>0</v>
      </c>
      <c r="C37" s="2">
        <v>0</v>
      </c>
      <c r="D37" s="2">
        <v>0</v>
      </c>
      <c r="E37" s="2">
        <v>0</v>
      </c>
    </row>
    <row r="38" spans="1:8" x14ac:dyDescent="0.25">
      <c r="A38" t="s">
        <v>31</v>
      </c>
      <c r="B38" s="2">
        <v>24650</v>
      </c>
      <c r="C38" s="2">
        <v>24650</v>
      </c>
      <c r="D38" s="2">
        <v>440000</v>
      </c>
      <c r="E38" s="2">
        <v>415350</v>
      </c>
    </row>
    <row r="39" spans="1:8" x14ac:dyDescent="0.25">
      <c r="A39" t="s">
        <v>300</v>
      </c>
      <c r="B39" s="2">
        <v>0</v>
      </c>
      <c r="C39" s="2">
        <v>0</v>
      </c>
      <c r="D39" s="2">
        <v>0</v>
      </c>
      <c r="E39" s="2">
        <v>550000</v>
      </c>
    </row>
    <row r="40" spans="1:8" x14ac:dyDescent="0.25">
      <c r="A40" t="s">
        <v>32</v>
      </c>
      <c r="B40" s="2">
        <v>364580.01</v>
      </c>
      <c r="C40" s="2">
        <f>Table1[[#This Row],[Through 06/30/25]]</f>
        <v>364580.01</v>
      </c>
      <c r="D40" s="2">
        <v>600000</v>
      </c>
      <c r="E40" s="2">
        <v>0</v>
      </c>
    </row>
    <row r="41" spans="1:8" x14ac:dyDescent="0.25">
      <c r="A41" s="29"/>
      <c r="B41" s="30"/>
      <c r="C41" s="30"/>
      <c r="D41" s="30"/>
      <c r="E41" s="30"/>
    </row>
    <row r="42" spans="1:8" s="10" customFormat="1" x14ac:dyDescent="0.25">
      <c r="A42" s="10" t="s">
        <v>33</v>
      </c>
      <c r="B42" s="11">
        <f>SUM(B43:B44)</f>
        <v>39270.04</v>
      </c>
      <c r="C42" s="11">
        <f>SUM(C43:C44)</f>
        <v>52362.671335999999</v>
      </c>
      <c r="D42" s="11">
        <v>47000</v>
      </c>
      <c r="E42" s="11">
        <f>SUM(E43:E44)</f>
        <v>53000</v>
      </c>
      <c r="H42" s="11"/>
    </row>
    <row r="43" spans="1:8" x14ac:dyDescent="0.25">
      <c r="A43" t="s">
        <v>34</v>
      </c>
      <c r="B43" s="2">
        <v>32972.15</v>
      </c>
      <c r="C43" s="2">
        <f>B43*1.3334</f>
        <v>43965.064809999996</v>
      </c>
      <c r="D43" s="2">
        <v>40000</v>
      </c>
      <c r="E43" s="2">
        <v>45000</v>
      </c>
    </row>
    <row r="44" spans="1:8" x14ac:dyDescent="0.25">
      <c r="A44" t="s">
        <v>35</v>
      </c>
      <c r="B44" s="2">
        <v>6297.89</v>
      </c>
      <c r="C44" s="2">
        <f>B44*1.3334</f>
        <v>8397.6065259999996</v>
      </c>
      <c r="D44" s="2">
        <v>7000</v>
      </c>
      <c r="E44" s="2">
        <v>8000</v>
      </c>
    </row>
    <row r="45" spans="1:8" x14ac:dyDescent="0.25">
      <c r="A45" s="29"/>
      <c r="B45" s="30"/>
      <c r="C45" s="30"/>
      <c r="D45" s="30"/>
      <c r="E45" s="30"/>
    </row>
    <row r="46" spans="1:8" s="1" customFormat="1" x14ac:dyDescent="0.25">
      <c r="A46" s="14" t="s">
        <v>36</v>
      </c>
      <c r="B46" s="15">
        <v>0</v>
      </c>
      <c r="C46" s="15">
        <v>0</v>
      </c>
      <c r="D46" s="15">
        <v>0</v>
      </c>
      <c r="E46" s="15">
        <v>0</v>
      </c>
      <c r="H46" s="4"/>
    </row>
    <row r="47" spans="1:8" x14ac:dyDescent="0.25">
      <c r="A47" s="29"/>
      <c r="B47" s="30"/>
      <c r="C47" s="30"/>
      <c r="D47" s="30"/>
      <c r="E47" s="30"/>
    </row>
    <row r="48" spans="1:8" s="1" customFormat="1" x14ac:dyDescent="0.25">
      <c r="A48" s="14" t="s">
        <v>37</v>
      </c>
      <c r="B48" s="15">
        <f>SUM(B49,B52,B56,B59,B62,B65,B68)</f>
        <v>30030.410000000003</v>
      </c>
      <c r="C48" s="15">
        <f>SUM(C49,C52,C56,C59,C62,C65,C68)</f>
        <v>38805.747024000004</v>
      </c>
      <c r="D48" s="15">
        <v>29115.16</v>
      </c>
      <c r="E48" s="15">
        <f>SUM(E49,E52,E56,E59,E62,E65,E68)</f>
        <v>34400</v>
      </c>
      <c r="H48" s="4"/>
    </row>
    <row r="49" spans="1:8" s="10" customFormat="1" x14ac:dyDescent="0.25">
      <c r="A49" s="10" t="s">
        <v>38</v>
      </c>
      <c r="B49" s="11">
        <f>B50</f>
        <v>16405.36</v>
      </c>
      <c r="C49" s="11">
        <f>C50</f>
        <v>21874.907024</v>
      </c>
      <c r="D49" s="11">
        <v>7500</v>
      </c>
      <c r="E49" s="11">
        <f>E50</f>
        <v>15000</v>
      </c>
      <c r="H49" s="11"/>
    </row>
    <row r="50" spans="1:8" x14ac:dyDescent="0.25">
      <c r="A50" t="s">
        <v>39</v>
      </c>
      <c r="B50" s="2">
        <v>16405.36</v>
      </c>
      <c r="C50" s="2">
        <f>B50*1.3334</f>
        <v>21874.907024</v>
      </c>
      <c r="D50" s="2">
        <v>7500</v>
      </c>
      <c r="E50" s="2">
        <v>15000</v>
      </c>
    </row>
    <row r="51" spans="1:8" x14ac:dyDescent="0.25">
      <c r="A51" s="29"/>
      <c r="B51" s="30"/>
      <c r="C51" s="30"/>
      <c r="D51" s="30"/>
      <c r="E51" s="30"/>
    </row>
    <row r="52" spans="1:8" s="10" customFormat="1" x14ac:dyDescent="0.25">
      <c r="A52" s="10" t="s">
        <v>40</v>
      </c>
      <c r="B52" s="11">
        <f>SUM(B53:B54)</f>
        <v>9809.3700000000008</v>
      </c>
      <c r="C52" s="11">
        <f>SUM(C53:C54)</f>
        <v>13115.16</v>
      </c>
      <c r="D52" s="11">
        <v>13115.16</v>
      </c>
      <c r="E52" s="11">
        <f>SUM(E53:E54)</f>
        <v>13200</v>
      </c>
      <c r="H52" s="11"/>
    </row>
    <row r="53" spans="1:8" x14ac:dyDescent="0.25">
      <c r="A53" t="s">
        <v>41</v>
      </c>
      <c r="B53" s="2">
        <f>WATER!B123</f>
        <v>1883.91</v>
      </c>
      <c r="C53" s="2">
        <f>WATER!C123</f>
        <v>2505.37</v>
      </c>
      <c r="D53" s="2">
        <v>2505.37</v>
      </c>
      <c r="E53" s="2">
        <f>WATER!E123</f>
        <v>2400</v>
      </c>
    </row>
    <row r="54" spans="1:8" x14ac:dyDescent="0.25">
      <c r="A54" t="s">
        <v>42</v>
      </c>
      <c r="B54" s="2">
        <f>WATER!B124</f>
        <v>7925.46</v>
      </c>
      <c r="C54" s="2">
        <f>WATER!C124</f>
        <v>10609.79</v>
      </c>
      <c r="D54" s="2">
        <v>10609.79</v>
      </c>
      <c r="E54" s="2">
        <f>WATER!E124</f>
        <v>10800</v>
      </c>
    </row>
    <row r="55" spans="1:8" x14ac:dyDescent="0.25">
      <c r="A55" s="29"/>
      <c r="B55" s="30"/>
      <c r="C55" s="30"/>
      <c r="D55" s="30"/>
      <c r="E55" s="30"/>
    </row>
    <row r="56" spans="1:8" s="10" customFormat="1" x14ac:dyDescent="0.25">
      <c r="A56" s="10" t="s">
        <v>43</v>
      </c>
      <c r="B56" s="11">
        <f>B57</f>
        <v>2800</v>
      </c>
      <c r="C56" s="11">
        <f>C57</f>
        <v>2800</v>
      </c>
      <c r="D56" s="11">
        <v>7000</v>
      </c>
      <c r="E56" s="11">
        <f>E57</f>
        <v>5000</v>
      </c>
      <c r="H56" s="11"/>
    </row>
    <row r="57" spans="1:8" x14ac:dyDescent="0.25">
      <c r="A57" t="s">
        <v>44</v>
      </c>
      <c r="B57" s="2">
        <v>2800</v>
      </c>
      <c r="C57" s="2">
        <f>Table1[[#This Row],[Through 06/30/25]]</f>
        <v>2800</v>
      </c>
      <c r="D57" s="2">
        <v>7000</v>
      </c>
      <c r="E57" s="2">
        <v>5000</v>
      </c>
    </row>
    <row r="58" spans="1:8" x14ac:dyDescent="0.25">
      <c r="A58" s="29"/>
      <c r="B58" s="30"/>
      <c r="C58" s="30"/>
      <c r="D58" s="30"/>
      <c r="E58" s="30"/>
    </row>
    <row r="59" spans="1:8" s="10" customFormat="1" x14ac:dyDescent="0.25">
      <c r="A59" s="10" t="s">
        <v>45</v>
      </c>
      <c r="B59" s="11">
        <f>B60</f>
        <v>0</v>
      </c>
      <c r="C59" s="11">
        <f>C60</f>
        <v>0</v>
      </c>
      <c r="D59" s="11">
        <v>1000</v>
      </c>
      <c r="E59" s="11">
        <f>E60</f>
        <v>1000</v>
      </c>
      <c r="H59" s="11"/>
    </row>
    <row r="60" spans="1:8" x14ac:dyDescent="0.25">
      <c r="A60" t="s">
        <v>46</v>
      </c>
      <c r="B60" s="2">
        <v>0</v>
      </c>
      <c r="C60" s="2">
        <f>B60*1.3334</f>
        <v>0</v>
      </c>
      <c r="D60" s="2">
        <v>1000</v>
      </c>
      <c r="E60" s="2">
        <v>1000</v>
      </c>
    </row>
    <row r="61" spans="1:8" x14ac:dyDescent="0.25">
      <c r="A61" s="29"/>
      <c r="B61" s="30"/>
      <c r="C61" s="30"/>
      <c r="D61" s="30"/>
      <c r="E61" s="30"/>
    </row>
    <row r="62" spans="1:8" s="10" customFormat="1" x14ac:dyDescent="0.25">
      <c r="A62" s="10" t="s">
        <v>47</v>
      </c>
      <c r="B62" s="11">
        <f>B63</f>
        <v>472</v>
      </c>
      <c r="C62" s="11">
        <f>C63</f>
        <v>472</v>
      </c>
      <c r="D62" s="11">
        <v>0</v>
      </c>
      <c r="E62" s="11">
        <f>E63</f>
        <v>0</v>
      </c>
      <c r="H62" s="11"/>
    </row>
    <row r="63" spans="1:8" x14ac:dyDescent="0.25">
      <c r="A63" t="s">
        <v>48</v>
      </c>
      <c r="B63" s="2">
        <v>472</v>
      </c>
      <c r="C63" s="2">
        <f>Table1[[#This Row],[Through 06/30/25]]</f>
        <v>472</v>
      </c>
      <c r="D63" s="2">
        <v>0</v>
      </c>
      <c r="E63" s="2">
        <v>0</v>
      </c>
    </row>
    <row r="64" spans="1:8" x14ac:dyDescent="0.25">
      <c r="A64" s="29"/>
      <c r="B64" s="30"/>
      <c r="C64" s="30"/>
      <c r="D64" s="30"/>
      <c r="E64" s="30"/>
    </row>
    <row r="65" spans="1:8" s="10" customFormat="1" x14ac:dyDescent="0.25">
      <c r="A65" s="10" t="s">
        <v>49</v>
      </c>
      <c r="B65" s="11">
        <f>B66</f>
        <v>176.56</v>
      </c>
      <c r="C65" s="11">
        <f>C66</f>
        <v>176.56</v>
      </c>
      <c r="D65" s="11">
        <v>500</v>
      </c>
      <c r="E65" s="11">
        <f>E66</f>
        <v>200</v>
      </c>
      <c r="H65" s="11"/>
    </row>
    <row r="66" spans="1:8" x14ac:dyDescent="0.25">
      <c r="A66" t="s">
        <v>50</v>
      </c>
      <c r="B66" s="2">
        <v>176.56</v>
      </c>
      <c r="C66" s="2">
        <f>Table1[[#This Row],[Through 06/30/25]]</f>
        <v>176.56</v>
      </c>
      <c r="D66" s="2">
        <v>500</v>
      </c>
      <c r="E66" s="2">
        <v>200</v>
      </c>
    </row>
    <row r="67" spans="1:8" x14ac:dyDescent="0.25">
      <c r="A67" s="29"/>
      <c r="B67" s="30"/>
      <c r="C67" s="30"/>
      <c r="D67" s="30"/>
      <c r="E67" s="30"/>
    </row>
    <row r="68" spans="1:8" s="10" customFormat="1" x14ac:dyDescent="0.25">
      <c r="A68" s="10" t="s">
        <v>51</v>
      </c>
      <c r="B68" s="11">
        <f>B69</f>
        <v>367.12</v>
      </c>
      <c r="C68" s="11">
        <f>C69</f>
        <v>367.12</v>
      </c>
      <c r="D68" s="11">
        <v>0</v>
      </c>
      <c r="E68" s="11">
        <f>E69</f>
        <v>0</v>
      </c>
      <c r="H68" s="11"/>
    </row>
    <row r="69" spans="1:8" x14ac:dyDescent="0.25">
      <c r="A69" t="s">
        <v>52</v>
      </c>
      <c r="B69" s="2">
        <v>367.12</v>
      </c>
      <c r="C69" s="2">
        <f>Table1[[#This Row],[Through 06/30/25]]</f>
        <v>367.12</v>
      </c>
      <c r="D69" s="2">
        <v>0</v>
      </c>
      <c r="E69" s="2">
        <v>0</v>
      </c>
    </row>
    <row r="70" spans="1:8" x14ac:dyDescent="0.25">
      <c r="A70" s="29"/>
      <c r="B70" s="30"/>
      <c r="C70" s="30"/>
      <c r="D70" s="30"/>
      <c r="E70" s="30"/>
    </row>
    <row r="71" spans="1:8" s="1" customFormat="1" x14ac:dyDescent="0.25">
      <c r="A71" s="14" t="s">
        <v>53</v>
      </c>
      <c r="B71" s="15">
        <f>SUM(B72,B76)</f>
        <v>8161.8099999999995</v>
      </c>
      <c r="C71" s="15">
        <f>SUM(C72,C76)</f>
        <v>10197.820454000001</v>
      </c>
      <c r="D71" s="15">
        <v>12400</v>
      </c>
      <c r="E71" s="15">
        <f>SUM(E72,E76)</f>
        <v>10000</v>
      </c>
      <c r="H71" s="4"/>
    </row>
    <row r="72" spans="1:8" s="10" customFormat="1" x14ac:dyDescent="0.25">
      <c r="A72" s="10" t="s">
        <v>54</v>
      </c>
      <c r="B72" s="11">
        <f>SUM(B73:B74)</f>
        <v>2582.86</v>
      </c>
      <c r="C72" s="11">
        <f>SUM(C73:C74)</f>
        <v>2758.848524</v>
      </c>
      <c r="D72" s="11">
        <v>2400</v>
      </c>
      <c r="E72" s="11">
        <f>SUM(E73:E74)</f>
        <v>2500</v>
      </c>
      <c r="H72" s="11"/>
    </row>
    <row r="73" spans="1:8" x14ac:dyDescent="0.25">
      <c r="A73" t="s">
        <v>55</v>
      </c>
      <c r="B73" s="2">
        <v>2055</v>
      </c>
      <c r="C73" s="2">
        <f>Table1[[#This Row],[Through 06/30/25]]</f>
        <v>2055</v>
      </c>
      <c r="D73" s="2">
        <v>2000</v>
      </c>
      <c r="E73" s="2">
        <v>2000</v>
      </c>
    </row>
    <row r="74" spans="1:8" x14ac:dyDescent="0.25">
      <c r="A74" t="s">
        <v>56</v>
      </c>
      <c r="B74" s="2">
        <v>527.86</v>
      </c>
      <c r="C74" s="2">
        <f>B74*1.3334</f>
        <v>703.848524</v>
      </c>
      <c r="D74" s="2">
        <v>400</v>
      </c>
      <c r="E74" s="2">
        <v>500</v>
      </c>
    </row>
    <row r="75" spans="1:8" x14ac:dyDescent="0.25">
      <c r="A75" s="29"/>
      <c r="B75" s="30"/>
      <c r="C75" s="30"/>
      <c r="D75" s="30"/>
      <c r="E75" s="30"/>
    </row>
    <row r="76" spans="1:8" s="10" customFormat="1" x14ac:dyDescent="0.25">
      <c r="A76" s="10" t="s">
        <v>57</v>
      </c>
      <c r="B76" s="11">
        <f>B77</f>
        <v>5578.95</v>
      </c>
      <c r="C76" s="11">
        <f>C77</f>
        <v>7438.9719299999997</v>
      </c>
      <c r="D76" s="11">
        <v>10000</v>
      </c>
      <c r="E76" s="11">
        <f>E77</f>
        <v>7500</v>
      </c>
      <c r="H76" s="11"/>
    </row>
    <row r="77" spans="1:8" x14ac:dyDescent="0.25">
      <c r="A77" t="s">
        <v>58</v>
      </c>
      <c r="B77" s="2">
        <v>5578.95</v>
      </c>
      <c r="C77" s="2">
        <f>B77*1.3334</f>
        <v>7438.9719299999997</v>
      </c>
      <c r="D77" s="2">
        <v>10000</v>
      </c>
      <c r="E77" s="2">
        <v>7500</v>
      </c>
    </row>
    <row r="78" spans="1:8" x14ac:dyDescent="0.25">
      <c r="A78" s="29"/>
      <c r="B78" s="30"/>
      <c r="C78" s="30"/>
      <c r="D78" s="30"/>
      <c r="E78" s="30"/>
    </row>
    <row r="79" spans="1:8" s="1" customFormat="1" x14ac:dyDescent="0.25">
      <c r="A79" s="14" t="s">
        <v>59</v>
      </c>
      <c r="B79" s="15">
        <v>0</v>
      </c>
      <c r="C79" s="15">
        <v>0</v>
      </c>
      <c r="D79" s="15">
        <v>0</v>
      </c>
      <c r="E79" s="15">
        <v>0</v>
      </c>
      <c r="H79" s="4"/>
    </row>
    <row r="80" spans="1:8" x14ac:dyDescent="0.25">
      <c r="A80" s="29"/>
      <c r="B80" s="30"/>
      <c r="C80" s="30"/>
      <c r="D80" s="30"/>
      <c r="E80" s="30"/>
    </row>
    <row r="81" spans="1:8" s="1" customFormat="1" x14ac:dyDescent="0.25">
      <c r="A81" s="16" t="s">
        <v>60</v>
      </c>
      <c r="B81" s="17">
        <f>SUM(B3,B6,B28,B32,B46,B48,B71,B79)</f>
        <v>1352648.25</v>
      </c>
      <c r="C81" s="17">
        <f>SUM(C3,C6,C28,C32,C46,C48,C71,C79)</f>
        <v>1509246.7740979998</v>
      </c>
      <c r="D81" s="17">
        <f>SUM(D3,D6,D28,D32,D46,D48,D71,D79)</f>
        <v>2078974.0092999998</v>
      </c>
      <c r="E81" s="17">
        <f>SUM(E3,E6,E28,E32,E46,E48,E71,E79)</f>
        <v>2104287.0384779</v>
      </c>
      <c r="H81" s="4"/>
    </row>
    <row r="82" spans="1:8" x14ac:dyDescent="0.25">
      <c r="E82" s="2">
        <f>E81-E36</f>
        <v>1138937.0384779</v>
      </c>
    </row>
    <row r="83" spans="1:8" s="1" customFormat="1" x14ac:dyDescent="0.25">
      <c r="A83" s="14" t="s">
        <v>61</v>
      </c>
      <c r="B83" s="15">
        <f>SUM(B84,B88)</f>
        <v>3156664.08</v>
      </c>
      <c r="C83" s="15">
        <f>SUM(C84,C88)</f>
        <v>3156664.08</v>
      </c>
      <c r="D83" s="15">
        <f>ROUNDUP(SUM(D84,D88),-2)</f>
        <v>2444400</v>
      </c>
      <c r="E83" s="15">
        <f>ROUNDUP(SUM(E84,E88),-2)</f>
        <v>3156700</v>
      </c>
      <c r="H83" s="4"/>
    </row>
    <row r="84" spans="1:8" s="10" customFormat="1" x14ac:dyDescent="0.25">
      <c r="A84" s="10" t="s">
        <v>62</v>
      </c>
      <c r="B84" s="11">
        <f>SUM(B85:B86)</f>
        <v>2508203.04</v>
      </c>
      <c r="C84" s="11">
        <f>SUM(C85:C86)</f>
        <v>2508203.04</v>
      </c>
      <c r="D84" s="11">
        <v>1815933.16</v>
      </c>
      <c r="E84" s="11">
        <f>SUM(E85:E86)</f>
        <v>2508203.04</v>
      </c>
      <c r="H84" s="11"/>
    </row>
    <row r="85" spans="1:8" x14ac:dyDescent="0.25">
      <c r="A85" t="s">
        <v>63</v>
      </c>
      <c r="B85" s="2">
        <v>2498602.8199999998</v>
      </c>
      <c r="C85" s="2">
        <f>Table1[[#This Row],[Through 06/30/25]]</f>
        <v>2498602.8199999998</v>
      </c>
      <c r="D85" s="2">
        <v>1806514.97</v>
      </c>
      <c r="E85" s="2">
        <f>Table1[[#This Row],[Extrapolated To 09/30/25]]</f>
        <v>2498602.8199999998</v>
      </c>
    </row>
    <row r="86" spans="1:8" x14ac:dyDescent="0.25">
      <c r="A86" t="s">
        <v>64</v>
      </c>
      <c r="B86" s="2">
        <v>9600.2199999999993</v>
      </c>
      <c r="C86" s="2">
        <f>Table1[[#This Row],[Through 06/30/25]]</f>
        <v>9600.2199999999993</v>
      </c>
      <c r="D86" s="2">
        <v>9418.19</v>
      </c>
      <c r="E86" s="2">
        <f>Table1[[#This Row],[Extrapolated To 09/30/25]]</f>
        <v>9600.2199999999993</v>
      </c>
    </row>
    <row r="87" spans="1:8" x14ac:dyDescent="0.25">
      <c r="A87" s="29"/>
      <c r="B87" s="30"/>
      <c r="C87" s="30"/>
      <c r="D87" s="30"/>
      <c r="E87" s="30"/>
    </row>
    <row r="88" spans="1:8" s="10" customFormat="1" x14ac:dyDescent="0.25">
      <c r="A88" s="10" t="s">
        <v>65</v>
      </c>
      <c r="B88" s="11">
        <f>SUM(B89:B94)</f>
        <v>648461.04</v>
      </c>
      <c r="C88" s="11">
        <f>SUM(C89:C94)</f>
        <v>648461.04</v>
      </c>
      <c r="D88" s="11">
        <v>628449.79</v>
      </c>
      <c r="E88" s="11">
        <f>SUM(E89:E94)</f>
        <v>648461.04</v>
      </c>
      <c r="H88" s="11"/>
    </row>
    <row r="89" spans="1:8" x14ac:dyDescent="0.25">
      <c r="A89" t="s">
        <v>66</v>
      </c>
      <c r="B89" s="2">
        <v>130387.26</v>
      </c>
      <c r="C89" s="2">
        <f>Table1[[#This Row],[Through 06/30/25]]</f>
        <v>130387.26</v>
      </c>
      <c r="D89" s="2">
        <v>125391.93</v>
      </c>
      <c r="E89" s="2">
        <f>Table1[[#This Row],[Extrapolated To 09/30/25]]</f>
        <v>130387.26</v>
      </c>
    </row>
    <row r="90" spans="1:8" x14ac:dyDescent="0.25">
      <c r="A90" t="s">
        <v>67</v>
      </c>
      <c r="B90" s="2">
        <v>144060.32999999999</v>
      </c>
      <c r="C90" s="2">
        <f>Table1[[#This Row],[Through 06/30/25]]</f>
        <v>144060.32999999999</v>
      </c>
      <c r="D90" s="2">
        <v>138541.17000000001</v>
      </c>
      <c r="E90" s="2">
        <f>Table1[[#This Row],[Extrapolated To 09/30/25]]</f>
        <v>144060.32999999999</v>
      </c>
    </row>
    <row r="91" spans="1:8" x14ac:dyDescent="0.25">
      <c r="A91" t="s">
        <v>68</v>
      </c>
      <c r="B91" s="2">
        <v>116052.21</v>
      </c>
      <c r="C91" s="2">
        <f>Table1[[#This Row],[Through 06/30/25]]</f>
        <v>116052.21</v>
      </c>
      <c r="D91" s="2">
        <v>111564.54</v>
      </c>
      <c r="E91" s="2">
        <f>Table1[[#This Row],[Extrapolated To 09/30/25]]</f>
        <v>116052.21</v>
      </c>
    </row>
    <row r="92" spans="1:8" x14ac:dyDescent="0.25">
      <c r="A92" t="s">
        <v>69</v>
      </c>
      <c r="B92" s="2">
        <v>59308.72</v>
      </c>
      <c r="C92" s="2">
        <f>Table1[[#This Row],[Through 06/30/25]]</f>
        <v>59308.72</v>
      </c>
      <c r="D92" s="2">
        <v>58427.37</v>
      </c>
      <c r="E92" s="2">
        <f>Table1[[#This Row],[Extrapolated To 09/30/25]]</f>
        <v>59308.72</v>
      </c>
    </row>
    <row r="93" spans="1:8" x14ac:dyDescent="0.25">
      <c r="A93" t="s">
        <v>70</v>
      </c>
      <c r="B93" s="2">
        <v>118795.45</v>
      </c>
      <c r="C93" s="2">
        <f>Table1[[#This Row],[Through 06/30/25]]</f>
        <v>118795.45</v>
      </c>
      <c r="D93" s="2">
        <v>117030.1</v>
      </c>
      <c r="E93" s="2">
        <f>Table1[[#This Row],[Extrapolated To 09/30/25]]</f>
        <v>118795.45</v>
      </c>
    </row>
    <row r="94" spans="1:8" x14ac:dyDescent="0.25">
      <c r="A94" t="s">
        <v>71</v>
      </c>
      <c r="B94" s="2">
        <v>79857.070000000007</v>
      </c>
      <c r="C94" s="2">
        <f>Table1[[#This Row],[Through 06/30/25]]</f>
        <v>79857.070000000007</v>
      </c>
      <c r="D94" s="2">
        <v>77494.679999999993</v>
      </c>
      <c r="E94" s="2">
        <f>Table1[[#This Row],[Extrapolated To 09/30/25]]</f>
        <v>79857.070000000007</v>
      </c>
    </row>
    <row r="95" spans="1:8" x14ac:dyDescent="0.25">
      <c r="A95" s="29"/>
      <c r="B95" s="30"/>
      <c r="C95" s="30"/>
      <c r="D95" s="30"/>
      <c r="E95" s="30"/>
    </row>
    <row r="96" spans="1:8" s="1" customFormat="1" x14ac:dyDescent="0.25">
      <c r="A96" s="16" t="s">
        <v>72</v>
      </c>
      <c r="B96" s="17">
        <f>SUM(B81,B83)</f>
        <v>4509312.33</v>
      </c>
      <c r="C96" s="17">
        <f>SUM(C81,C83)</f>
        <v>4665910.8540979996</v>
      </c>
      <c r="D96" s="17">
        <f>SUM(D81,D83)</f>
        <v>4523374.0093</v>
      </c>
      <c r="E96" s="17">
        <f>SUM(E81,E83)</f>
        <v>5260987.0384778995</v>
      </c>
      <c r="H96" s="4"/>
    </row>
    <row r="97" spans="1:5" x14ac:dyDescent="0.25">
      <c r="A97" s="19" t="s">
        <v>73</v>
      </c>
      <c r="B97" s="20"/>
      <c r="C97" s="20"/>
      <c r="D97" s="20"/>
      <c r="E97" s="20">
        <f>E81-EXPENDITURES!E123</f>
        <v>-360162.96152210003</v>
      </c>
    </row>
  </sheetData>
  <mergeCells count="2">
    <mergeCell ref="G3:H3"/>
    <mergeCell ref="A1:E1"/>
  </mergeCells>
  <pageMargins left="0.7" right="0.7" top="0.75" bottom="0.75" header="0.3" footer="0.3"/>
  <pageSetup scale="97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E7CF-5243-491E-BD7C-DCE5F6F42283}">
  <sheetPr>
    <pageSetUpPr fitToPage="1"/>
  </sheetPr>
  <dimension ref="A1:K124"/>
  <sheetViews>
    <sheetView topLeftCell="A114" zoomScale="200" zoomScaleNormal="200" workbookViewId="0">
      <selection activeCell="C123" sqref="C123"/>
    </sheetView>
  </sheetViews>
  <sheetFormatPr defaultRowHeight="15" x14ac:dyDescent="0.25"/>
  <cols>
    <col min="1" max="1" width="36.7109375" bestFit="1" customWidth="1"/>
    <col min="2" max="5" width="15.7109375" style="2" customWidth="1"/>
    <col min="10" max="10" width="12.7109375" bestFit="1" customWidth="1"/>
  </cols>
  <sheetData>
    <row r="1" spans="1:11" ht="30" customHeight="1" x14ac:dyDescent="0.25">
      <c r="A1" s="81" t="s">
        <v>297</v>
      </c>
      <c r="B1" s="81"/>
      <c r="C1" s="81"/>
      <c r="D1" s="81"/>
      <c r="E1" s="81"/>
    </row>
    <row r="2" spans="1:11" ht="30" x14ac:dyDescent="0.25">
      <c r="A2" s="18" t="s">
        <v>0</v>
      </c>
      <c r="B2" s="13" t="s">
        <v>295</v>
      </c>
      <c r="C2" s="13" t="s">
        <v>296</v>
      </c>
      <c r="D2" s="13" t="s">
        <v>292</v>
      </c>
      <c r="E2" s="13" t="s">
        <v>293</v>
      </c>
    </row>
    <row r="3" spans="1:11" s="1" customFormat="1" x14ac:dyDescent="0.25">
      <c r="A3" s="14" t="s">
        <v>74</v>
      </c>
      <c r="B3" s="15">
        <f>SUM(B4,B7,B10,B13,B16,B19,B23,B27,B30,B35,B38,B41,B47,B53,B57,B63)</f>
        <v>518872.17</v>
      </c>
      <c r="C3" s="15">
        <f>SUM(C4,C7,C10,C13,C16,C19,C23,C27,C30,C35,C38,C41,C47,C53,C57,C63)</f>
        <v>555280.73777999997</v>
      </c>
      <c r="D3" s="15">
        <v>1252470</v>
      </c>
      <c r="E3" s="15">
        <f>SUM(E4,E7,E10,E13,E16,E19,E23,E27,E30,E35,E38,E41,E47,E50,E53,E57,E63)</f>
        <v>1297650</v>
      </c>
    </row>
    <row r="4" spans="1:11" s="10" customFormat="1" x14ac:dyDescent="0.25">
      <c r="A4" s="10" t="s">
        <v>75</v>
      </c>
      <c r="B4" s="11">
        <f>B5</f>
        <v>0</v>
      </c>
      <c r="C4" s="11">
        <f>C5</f>
        <v>0</v>
      </c>
      <c r="D4" s="11">
        <v>5000</v>
      </c>
      <c r="E4" s="11">
        <f>E5</f>
        <v>5000</v>
      </c>
      <c r="G4" s="10" t="s">
        <v>76</v>
      </c>
      <c r="H4" s="10" t="s">
        <v>77</v>
      </c>
      <c r="J4" s="10" t="s">
        <v>78</v>
      </c>
      <c r="K4"/>
    </row>
    <row r="5" spans="1:11" x14ac:dyDescent="0.25">
      <c r="A5" t="s">
        <v>79</v>
      </c>
      <c r="B5" s="2">
        <v>0</v>
      </c>
      <c r="C5" s="2">
        <f>Table2[[#This Row],[Through 06/30/25]]</f>
        <v>0</v>
      </c>
      <c r="D5" s="2">
        <v>5000</v>
      </c>
      <c r="E5" s="2">
        <v>5000</v>
      </c>
      <c r="G5" s="8">
        <v>0.34</v>
      </c>
      <c r="H5" s="8">
        <v>0.66</v>
      </c>
      <c r="J5" t="s">
        <v>80</v>
      </c>
      <c r="K5">
        <v>16399</v>
      </c>
    </row>
    <row r="6" spans="1:11" x14ac:dyDescent="0.25">
      <c r="A6" s="29"/>
      <c r="B6" s="30"/>
      <c r="C6" s="30"/>
      <c r="D6" s="30"/>
      <c r="E6" s="30"/>
      <c r="J6" t="s">
        <v>81</v>
      </c>
      <c r="K6">
        <v>1158</v>
      </c>
    </row>
    <row r="7" spans="1:11" s="10" customFormat="1" x14ac:dyDescent="0.25">
      <c r="A7" s="10" t="s">
        <v>82</v>
      </c>
      <c r="B7" s="11">
        <f>B8</f>
        <v>2700</v>
      </c>
      <c r="C7" s="11">
        <f>C8</f>
        <v>3600</v>
      </c>
      <c r="D7" s="11">
        <v>3600</v>
      </c>
      <c r="E7" s="11">
        <f>E8</f>
        <v>0</v>
      </c>
      <c r="J7" t="s">
        <v>83</v>
      </c>
      <c r="K7">
        <v>2206</v>
      </c>
    </row>
    <row r="8" spans="1:11" x14ac:dyDescent="0.25">
      <c r="A8" t="s">
        <v>84</v>
      </c>
      <c r="B8" s="2">
        <v>2700</v>
      </c>
      <c r="C8" s="2">
        <v>3600</v>
      </c>
      <c r="D8" s="2">
        <v>3600</v>
      </c>
      <c r="E8" s="2">
        <v>0</v>
      </c>
      <c r="K8" s="10"/>
    </row>
    <row r="9" spans="1:11" x14ac:dyDescent="0.25">
      <c r="A9" s="29"/>
      <c r="B9" s="30"/>
      <c r="C9" s="30"/>
      <c r="D9" s="30"/>
      <c r="E9" s="30"/>
      <c r="J9" t="s">
        <v>85</v>
      </c>
      <c r="K9">
        <v>20067</v>
      </c>
    </row>
    <row r="10" spans="1:11" s="10" customFormat="1" x14ac:dyDescent="0.25">
      <c r="A10" s="10" t="s">
        <v>86</v>
      </c>
      <c r="B10" s="11">
        <f>B11</f>
        <v>4814.1000000000004</v>
      </c>
      <c r="C10" s="11">
        <f>C11</f>
        <v>6419.1209399999998</v>
      </c>
      <c r="D10" s="11">
        <v>7500</v>
      </c>
      <c r="E10" s="11">
        <f>E11</f>
        <v>7500</v>
      </c>
      <c r="J10" t="s">
        <v>87</v>
      </c>
      <c r="K10">
        <v>2177</v>
      </c>
    </row>
    <row r="11" spans="1:11" x14ac:dyDescent="0.25">
      <c r="A11" t="s">
        <v>88</v>
      </c>
      <c r="B11" s="2">
        <v>4814.1000000000004</v>
      </c>
      <c r="C11" s="2">
        <f>B11*1.3334</f>
        <v>6419.1209399999998</v>
      </c>
      <c r="D11" s="2">
        <v>7500</v>
      </c>
      <c r="E11" s="2">
        <v>7500</v>
      </c>
      <c r="K11" s="10"/>
    </row>
    <row r="12" spans="1:11" x14ac:dyDescent="0.25">
      <c r="A12" s="29"/>
      <c r="B12" s="30"/>
      <c r="C12" s="30"/>
      <c r="D12" s="30"/>
      <c r="E12" s="30"/>
      <c r="J12" t="s">
        <v>89</v>
      </c>
      <c r="K12">
        <v>27177</v>
      </c>
    </row>
    <row r="13" spans="1:11" s="10" customFormat="1" x14ac:dyDescent="0.25">
      <c r="A13" s="10" t="s">
        <v>90</v>
      </c>
      <c r="B13" s="11">
        <f>B14</f>
        <v>147.77000000000001</v>
      </c>
      <c r="C13" s="11">
        <f>C14</f>
        <v>197.036518</v>
      </c>
      <c r="D13" s="11">
        <v>500</v>
      </c>
      <c r="E13" s="11">
        <f>E14</f>
        <v>500</v>
      </c>
      <c r="J13"/>
      <c r="K13"/>
    </row>
    <row r="14" spans="1:11" x14ac:dyDescent="0.25">
      <c r="A14" t="s">
        <v>91</v>
      </c>
      <c r="B14" s="2">
        <v>147.77000000000001</v>
      </c>
      <c r="C14" s="2">
        <f>B14*1.3334</f>
        <v>197.036518</v>
      </c>
      <c r="D14" s="2">
        <v>500</v>
      </c>
      <c r="E14" s="2">
        <v>500</v>
      </c>
    </row>
    <row r="15" spans="1:11" x14ac:dyDescent="0.25">
      <c r="A15" s="29"/>
      <c r="B15" s="30"/>
      <c r="C15" s="30"/>
      <c r="D15" s="30"/>
      <c r="E15" s="30"/>
    </row>
    <row r="16" spans="1:11" s="10" customFormat="1" x14ac:dyDescent="0.25">
      <c r="A16" s="10" t="s">
        <v>92</v>
      </c>
      <c r="B16" s="11">
        <f>B17</f>
        <v>28224.37</v>
      </c>
      <c r="C16" s="11">
        <f>C17</f>
        <v>37634.374957999993</v>
      </c>
      <c r="D16" s="11">
        <v>40000</v>
      </c>
      <c r="E16" s="11">
        <f>E17</f>
        <v>40000</v>
      </c>
      <c r="J16"/>
      <c r="K16"/>
    </row>
    <row r="17" spans="1:11" x14ac:dyDescent="0.25">
      <c r="A17" t="s">
        <v>93</v>
      </c>
      <c r="B17" s="2">
        <v>28224.37</v>
      </c>
      <c r="C17" s="2">
        <f>B17*1.3334</f>
        <v>37634.374957999993</v>
      </c>
      <c r="D17" s="2">
        <v>40000</v>
      </c>
      <c r="E17" s="2">
        <v>40000</v>
      </c>
    </row>
    <row r="18" spans="1:11" x14ac:dyDescent="0.25">
      <c r="A18" s="29"/>
      <c r="B18" s="30"/>
      <c r="C18" s="30"/>
      <c r="D18" s="30"/>
      <c r="E18" s="30"/>
    </row>
    <row r="19" spans="1:11" s="10" customFormat="1" x14ac:dyDescent="0.25">
      <c r="A19" s="10" t="s">
        <v>94</v>
      </c>
      <c r="B19" s="11">
        <f>SUM(B20:B21)</f>
        <v>150</v>
      </c>
      <c r="C19" s="11">
        <f>SUM(C20:C21)</f>
        <v>150</v>
      </c>
      <c r="D19" s="11">
        <v>6500</v>
      </c>
      <c r="E19" s="11">
        <f>SUM(E20:E21)</f>
        <v>4500</v>
      </c>
      <c r="K19"/>
    </row>
    <row r="20" spans="1:11" x14ac:dyDescent="0.25">
      <c r="A20" t="s">
        <v>95</v>
      </c>
      <c r="B20" s="2">
        <v>150</v>
      </c>
      <c r="C20" s="2">
        <v>150</v>
      </c>
      <c r="D20" s="2">
        <v>5000</v>
      </c>
      <c r="E20" s="2">
        <v>3000</v>
      </c>
    </row>
    <row r="21" spans="1:11" x14ac:dyDescent="0.25">
      <c r="A21" t="s">
        <v>96</v>
      </c>
      <c r="B21" s="2">
        <v>0</v>
      </c>
      <c r="C21" s="2">
        <f>B21*1.3334</f>
        <v>0</v>
      </c>
      <c r="D21" s="2">
        <v>1500</v>
      </c>
      <c r="E21" s="2">
        <v>1500</v>
      </c>
    </row>
    <row r="22" spans="1:11" x14ac:dyDescent="0.25">
      <c r="A22" s="29"/>
      <c r="B22" s="30"/>
      <c r="C22" s="30"/>
      <c r="D22" s="30"/>
      <c r="E22" s="30"/>
    </row>
    <row r="23" spans="1:11" s="10" customFormat="1" x14ac:dyDescent="0.25">
      <c r="A23" s="10" t="s">
        <v>97</v>
      </c>
      <c r="B23" s="11">
        <f>SUM(B24:B25)</f>
        <v>1092</v>
      </c>
      <c r="C23" s="11">
        <f>SUM(C24:C25)</f>
        <v>1092</v>
      </c>
      <c r="D23" s="11">
        <v>1800</v>
      </c>
      <c r="E23" s="11">
        <f>SUM(E24:E25)</f>
        <v>1800</v>
      </c>
      <c r="K23"/>
    </row>
    <row r="24" spans="1:11" x14ac:dyDescent="0.25">
      <c r="A24" t="s">
        <v>98</v>
      </c>
      <c r="B24" s="2">
        <v>460</v>
      </c>
      <c r="C24" s="2">
        <v>460</v>
      </c>
      <c r="D24" s="2">
        <v>500</v>
      </c>
      <c r="E24" s="2">
        <v>500</v>
      </c>
    </row>
    <row r="25" spans="1:11" x14ac:dyDescent="0.25">
      <c r="A25" t="s">
        <v>99</v>
      </c>
      <c r="B25" s="2">
        <v>632</v>
      </c>
      <c r="C25" s="2">
        <f>Table2[[#This Row],[Through 06/30/25]]</f>
        <v>632</v>
      </c>
      <c r="D25" s="2">
        <v>1300</v>
      </c>
      <c r="E25" s="2">
        <v>1300</v>
      </c>
    </row>
    <row r="26" spans="1:11" x14ac:dyDescent="0.25">
      <c r="A26" s="29"/>
      <c r="B26" s="30"/>
      <c r="C26" s="30"/>
      <c r="D26" s="30"/>
      <c r="E26" s="30"/>
    </row>
    <row r="27" spans="1:11" s="10" customFormat="1" x14ac:dyDescent="0.25">
      <c r="A27" s="10" t="s">
        <v>100</v>
      </c>
      <c r="B27" s="11">
        <f>B28</f>
        <v>3317.35</v>
      </c>
      <c r="C27" s="11">
        <f>C28</f>
        <v>4423.3544899999997</v>
      </c>
      <c r="D27" s="11">
        <v>5000</v>
      </c>
      <c r="E27" s="11">
        <f>E28</f>
        <v>5000</v>
      </c>
      <c r="K27"/>
    </row>
    <row r="28" spans="1:11" x14ac:dyDescent="0.25">
      <c r="A28" t="s">
        <v>101</v>
      </c>
      <c r="B28" s="2">
        <v>3317.35</v>
      </c>
      <c r="C28" s="2">
        <f>B28*1.3334</f>
        <v>4423.3544899999997</v>
      </c>
      <c r="D28" s="2">
        <v>5000</v>
      </c>
      <c r="E28" s="2">
        <v>5000</v>
      </c>
    </row>
    <row r="29" spans="1:11" x14ac:dyDescent="0.25">
      <c r="A29" s="29"/>
      <c r="B29" s="30"/>
      <c r="C29" s="30"/>
      <c r="D29" s="30"/>
      <c r="E29" s="30"/>
    </row>
    <row r="30" spans="1:11" s="10" customFormat="1" x14ac:dyDescent="0.25">
      <c r="A30" s="10" t="s">
        <v>102</v>
      </c>
      <c r="B30" s="11">
        <f>SUM(B31:B33)</f>
        <v>38018.590000000004</v>
      </c>
      <c r="C30" s="11">
        <f>SUM(C31:C33)</f>
        <v>36462.559999999998</v>
      </c>
      <c r="D30" s="11">
        <v>36600</v>
      </c>
      <c r="E30" s="11">
        <f>ROUNDUP(SUM(E31:E33),-2)</f>
        <v>38300</v>
      </c>
      <c r="K30"/>
    </row>
    <row r="31" spans="1:11" x14ac:dyDescent="0.25">
      <c r="A31" t="s">
        <v>103</v>
      </c>
      <c r="B31" s="2">
        <v>8816.4500000000007</v>
      </c>
      <c r="C31" s="2">
        <v>8923.5400000000009</v>
      </c>
      <c r="D31" s="2">
        <v>9000</v>
      </c>
      <c r="E31" s="2">
        <f>ROUNDUP((((K5+K6)/2)+(K78*GF)),-2)</f>
        <v>8800</v>
      </c>
    </row>
    <row r="32" spans="1:11" x14ac:dyDescent="0.25">
      <c r="A32" t="s">
        <v>104</v>
      </c>
      <c r="B32" s="2">
        <v>17756.54</v>
      </c>
      <c r="C32" s="2">
        <v>15362.56</v>
      </c>
      <c r="D32" s="2">
        <v>15400</v>
      </c>
      <c r="E32" s="2">
        <f>ROUNDUP((K12*GF),-2)</f>
        <v>18000</v>
      </c>
    </row>
    <row r="33" spans="1:11" x14ac:dyDescent="0.25">
      <c r="A33" t="s">
        <v>105</v>
      </c>
      <c r="B33" s="2">
        <v>11445.6</v>
      </c>
      <c r="C33" s="2">
        <v>12176.46</v>
      </c>
      <c r="D33" s="2">
        <v>12200</v>
      </c>
      <c r="E33" s="2">
        <f>ROUNDUP((K9/2)+(K10*GF),-2)</f>
        <v>11500</v>
      </c>
    </row>
    <row r="34" spans="1:11" x14ac:dyDescent="0.25">
      <c r="A34" s="29"/>
      <c r="B34" s="30"/>
      <c r="C34" s="30"/>
      <c r="D34" s="30"/>
      <c r="E34" s="30"/>
    </row>
    <row r="35" spans="1:11" s="10" customFormat="1" x14ac:dyDescent="0.25">
      <c r="A35" s="10" t="s">
        <v>106</v>
      </c>
      <c r="B35" s="11">
        <f>B36</f>
        <v>2125</v>
      </c>
      <c r="C35" s="11">
        <f>C36</f>
        <v>12020</v>
      </c>
      <c r="D35" s="11">
        <v>13000</v>
      </c>
      <c r="E35" s="11">
        <f>E36</f>
        <v>15000</v>
      </c>
    </row>
    <row r="36" spans="1:11" x14ac:dyDescent="0.25">
      <c r="A36" t="s">
        <v>107</v>
      </c>
      <c r="B36" s="2">
        <v>2125</v>
      </c>
      <c r="C36" s="2">
        <v>12020</v>
      </c>
      <c r="D36" s="2">
        <v>13000</v>
      </c>
      <c r="E36" s="2">
        <v>15000</v>
      </c>
    </row>
    <row r="37" spans="1:11" x14ac:dyDescent="0.25">
      <c r="A37" s="29"/>
      <c r="B37" s="30"/>
      <c r="C37" s="30"/>
      <c r="D37" s="30"/>
      <c r="E37" s="30"/>
    </row>
    <row r="38" spans="1:11" s="10" customFormat="1" x14ac:dyDescent="0.25">
      <c r="A38" s="10" t="s">
        <v>108</v>
      </c>
      <c r="B38" s="11">
        <f>B39</f>
        <v>12084.91</v>
      </c>
      <c r="C38" s="11">
        <f>C39</f>
        <v>16114.018993999998</v>
      </c>
      <c r="D38" s="11">
        <v>30000</v>
      </c>
      <c r="E38" s="11">
        <f>E39</f>
        <v>30000</v>
      </c>
      <c r="K38"/>
    </row>
    <row r="39" spans="1:11" x14ac:dyDescent="0.25">
      <c r="A39" t="s">
        <v>109</v>
      </c>
      <c r="B39" s="2">
        <v>12084.91</v>
      </c>
      <c r="C39" s="2">
        <f>B39*1.3334</f>
        <v>16114.018993999998</v>
      </c>
      <c r="D39" s="2">
        <v>30000</v>
      </c>
      <c r="E39" s="2">
        <v>30000</v>
      </c>
    </row>
    <row r="40" spans="1:11" x14ac:dyDescent="0.25">
      <c r="A40" s="29"/>
      <c r="B40" s="30"/>
      <c r="C40" s="30"/>
      <c r="D40" s="30"/>
      <c r="E40" s="30"/>
    </row>
    <row r="41" spans="1:11" s="10" customFormat="1" x14ac:dyDescent="0.25">
      <c r="A41" s="10" t="s">
        <v>110</v>
      </c>
      <c r="B41" s="11">
        <f>SUM(B42:B45)</f>
        <v>35739.880000000005</v>
      </c>
      <c r="C41" s="11">
        <f>SUM(C42:C45)</f>
        <v>46300.59</v>
      </c>
      <c r="D41" s="11">
        <v>90000</v>
      </c>
      <c r="E41" s="11">
        <f>SUM(E42:E45)</f>
        <v>60000</v>
      </c>
      <c r="K41"/>
    </row>
    <row r="42" spans="1:11" x14ac:dyDescent="0.25">
      <c r="A42" t="s">
        <v>111</v>
      </c>
      <c r="B42" s="2">
        <v>0</v>
      </c>
      <c r="C42" s="2">
        <f>Table2[[#This Row],[Through 06/30/25]]</f>
        <v>0</v>
      </c>
      <c r="D42" s="2">
        <v>25000</v>
      </c>
      <c r="E42" s="2">
        <v>0</v>
      </c>
    </row>
    <row r="43" spans="1:11" x14ac:dyDescent="0.25">
      <c r="A43" t="s">
        <v>112</v>
      </c>
      <c r="B43" s="2">
        <v>8850</v>
      </c>
      <c r="C43" s="2">
        <f>B43*1.3334</f>
        <v>11800.59</v>
      </c>
      <c r="D43" s="2">
        <v>20000</v>
      </c>
      <c r="E43" s="2">
        <v>15000</v>
      </c>
    </row>
    <row r="44" spans="1:11" x14ac:dyDescent="0.25">
      <c r="A44" t="s">
        <v>113</v>
      </c>
      <c r="B44" s="2">
        <v>4389.88</v>
      </c>
      <c r="C44" s="2">
        <v>9500</v>
      </c>
      <c r="D44" s="2">
        <v>15000</v>
      </c>
      <c r="E44" s="2">
        <v>15000</v>
      </c>
    </row>
    <row r="45" spans="1:11" x14ac:dyDescent="0.25">
      <c r="A45" t="s">
        <v>114</v>
      </c>
      <c r="B45" s="2">
        <v>22500</v>
      </c>
      <c r="C45" s="2">
        <v>25000</v>
      </c>
      <c r="D45" s="2">
        <v>30000</v>
      </c>
      <c r="E45" s="2">
        <v>30000</v>
      </c>
    </row>
    <row r="46" spans="1:11" x14ac:dyDescent="0.25">
      <c r="A46" s="29"/>
      <c r="B46" s="30"/>
      <c r="C46" s="30"/>
      <c r="D46" s="30"/>
      <c r="E46" s="30"/>
    </row>
    <row r="47" spans="1:11" s="10" customFormat="1" x14ac:dyDescent="0.25">
      <c r="A47" s="10" t="s">
        <v>115</v>
      </c>
      <c r="B47" s="11">
        <f>B48</f>
        <v>1228.2</v>
      </c>
      <c r="C47" s="11">
        <f>C48</f>
        <v>1637.6818799999999</v>
      </c>
      <c r="D47" s="11">
        <v>3500</v>
      </c>
      <c r="E47" s="11">
        <f>E48</f>
        <v>2700</v>
      </c>
      <c r="K47"/>
    </row>
    <row r="48" spans="1:11" x14ac:dyDescent="0.25">
      <c r="A48" t="s">
        <v>116</v>
      </c>
      <c r="B48" s="2">
        <v>1228.2</v>
      </c>
      <c r="C48" s="2">
        <f>B48*1.3334</f>
        <v>1637.6818799999999</v>
      </c>
      <c r="D48" s="2">
        <v>3500</v>
      </c>
      <c r="E48" s="2">
        <v>2700</v>
      </c>
    </row>
    <row r="49" spans="1:11" x14ac:dyDescent="0.25">
      <c r="A49" s="29"/>
      <c r="B49" s="30"/>
      <c r="C49" s="30"/>
      <c r="D49" s="30"/>
      <c r="E49" s="30"/>
    </row>
    <row r="50" spans="1:11" s="10" customFormat="1" x14ac:dyDescent="0.25">
      <c r="A50" s="10" t="s">
        <v>302</v>
      </c>
      <c r="B50" s="11">
        <f>B51</f>
        <v>18090</v>
      </c>
      <c r="C50" s="11">
        <f>C51</f>
        <v>36090</v>
      </c>
      <c r="D50" s="11">
        <f>D51</f>
        <v>0</v>
      </c>
      <c r="E50" s="11">
        <f>E51</f>
        <v>42000</v>
      </c>
      <c r="K50"/>
    </row>
    <row r="51" spans="1:11" x14ac:dyDescent="0.25">
      <c r="A51" t="s">
        <v>303</v>
      </c>
      <c r="B51" s="2">
        <v>18090</v>
      </c>
      <c r="C51" s="2">
        <v>36090</v>
      </c>
      <c r="D51" s="2">
        <v>0</v>
      </c>
      <c r="E51" s="2">
        <v>42000</v>
      </c>
    </row>
    <row r="52" spans="1:11" x14ac:dyDescent="0.25">
      <c r="A52" s="29"/>
      <c r="B52" s="30"/>
      <c r="C52" s="30"/>
      <c r="D52" s="30"/>
      <c r="E52" s="30"/>
    </row>
    <row r="53" spans="1:11" x14ac:dyDescent="0.25">
      <c r="A53" s="10" t="s">
        <v>117</v>
      </c>
      <c r="B53" s="11">
        <f>SUM(B54:B55)</f>
        <v>0</v>
      </c>
      <c r="C53" s="11">
        <f>SUM(C54:C55)</f>
        <v>0</v>
      </c>
      <c r="D53" s="11">
        <v>5000</v>
      </c>
      <c r="E53" s="11">
        <f>SUM(E54:E55)</f>
        <v>5000</v>
      </c>
    </row>
    <row r="54" spans="1:11" s="10" customFormat="1" x14ac:dyDescent="0.25">
      <c r="A54" t="s">
        <v>118</v>
      </c>
      <c r="B54" s="2">
        <v>0</v>
      </c>
      <c r="C54" s="2">
        <f>B54*1.3334</f>
        <v>0</v>
      </c>
      <c r="D54" s="2">
        <v>0</v>
      </c>
      <c r="E54" s="2">
        <v>0</v>
      </c>
      <c r="K54"/>
    </row>
    <row r="55" spans="1:11" x14ac:dyDescent="0.25">
      <c r="A55" t="s">
        <v>119</v>
      </c>
      <c r="B55" s="2">
        <v>0</v>
      </c>
      <c r="C55" s="2">
        <f>B55*1.3334</f>
        <v>0</v>
      </c>
      <c r="D55" s="2">
        <v>5000</v>
      </c>
      <c r="E55" s="2">
        <v>5000</v>
      </c>
    </row>
    <row r="56" spans="1:11" x14ac:dyDescent="0.25">
      <c r="A56" s="29"/>
      <c r="B56" s="30"/>
      <c r="C56" s="30"/>
      <c r="D56" s="30"/>
      <c r="E56" s="30"/>
    </row>
    <row r="57" spans="1:11" x14ac:dyDescent="0.25">
      <c r="A57" s="10" t="s">
        <v>120</v>
      </c>
      <c r="B57" s="11">
        <f>SUM(B58:B61)</f>
        <v>389230</v>
      </c>
      <c r="C57" s="11">
        <f>SUM(C58:C61)</f>
        <v>389230</v>
      </c>
      <c r="D57" s="11">
        <v>929470</v>
      </c>
      <c r="E57" s="11">
        <f>SUM(E58:E61)</f>
        <v>965350</v>
      </c>
    </row>
    <row r="58" spans="1:11" x14ac:dyDescent="0.25">
      <c r="A58" t="s">
        <v>121</v>
      </c>
      <c r="B58" s="2">
        <v>24650</v>
      </c>
      <c r="C58" s="2">
        <v>24650</v>
      </c>
      <c r="D58" s="2">
        <v>415350</v>
      </c>
      <c r="E58" s="2">
        <v>415350</v>
      </c>
    </row>
    <row r="59" spans="1:11" s="10" customFormat="1" x14ac:dyDescent="0.25">
      <c r="A59" t="s">
        <v>122</v>
      </c>
      <c r="B59" s="2">
        <v>364580</v>
      </c>
      <c r="C59" s="2">
        <f>Table2[[#This Row],[Through 06/30/25]]</f>
        <v>364580</v>
      </c>
      <c r="D59" s="2">
        <v>235420</v>
      </c>
      <c r="E59" s="2">
        <v>0</v>
      </c>
      <c r="K59"/>
    </row>
    <row r="60" spans="1:11" s="10" customFormat="1" x14ac:dyDescent="0.25">
      <c r="A60" t="s">
        <v>306</v>
      </c>
      <c r="B60" s="2">
        <v>0</v>
      </c>
      <c r="C60" s="2">
        <v>0</v>
      </c>
      <c r="D60" s="2">
        <v>0</v>
      </c>
      <c r="E60" s="2">
        <v>550000</v>
      </c>
      <c r="K60"/>
    </row>
    <row r="61" spans="1:11" x14ac:dyDescent="0.25">
      <c r="A61" t="s">
        <v>123</v>
      </c>
      <c r="B61" s="2">
        <v>0</v>
      </c>
      <c r="C61" s="2">
        <v>0</v>
      </c>
      <c r="D61" s="2">
        <v>278700</v>
      </c>
      <c r="E61" s="2">
        <v>0</v>
      </c>
    </row>
    <row r="62" spans="1:11" x14ac:dyDescent="0.25">
      <c r="A62" s="29"/>
      <c r="B62" s="30"/>
      <c r="C62" s="30"/>
      <c r="D62" s="30"/>
      <c r="E62" s="30"/>
    </row>
    <row r="63" spans="1:11" s="1" customFormat="1" x14ac:dyDescent="0.25">
      <c r="A63" s="10" t="s">
        <v>124</v>
      </c>
      <c r="B63" s="11">
        <f>B64</f>
        <v>0</v>
      </c>
      <c r="C63" s="11">
        <f>C64</f>
        <v>0</v>
      </c>
      <c r="D63" s="11">
        <v>75000</v>
      </c>
      <c r="E63" s="11">
        <f>E64</f>
        <v>75000</v>
      </c>
    </row>
    <row r="64" spans="1:11" s="10" customFormat="1" x14ac:dyDescent="0.25">
      <c r="A64" t="s">
        <v>125</v>
      </c>
      <c r="B64" s="2">
        <v>0</v>
      </c>
      <c r="C64" s="2">
        <v>0</v>
      </c>
      <c r="D64" s="2">
        <v>75000</v>
      </c>
      <c r="E64" s="2">
        <v>75000</v>
      </c>
      <c r="K64"/>
    </row>
    <row r="65" spans="1:11" x14ac:dyDescent="0.25">
      <c r="A65" s="29"/>
      <c r="B65" s="30"/>
      <c r="C65" s="30"/>
      <c r="D65" s="30"/>
      <c r="E65" s="30"/>
    </row>
    <row r="66" spans="1:11" x14ac:dyDescent="0.25">
      <c r="A66" s="14" t="s">
        <v>126</v>
      </c>
      <c r="B66" s="15">
        <f>B67</f>
        <v>129000</v>
      </c>
      <c r="C66" s="15">
        <f>C67</f>
        <v>168197.83799999999</v>
      </c>
      <c r="D66" s="15">
        <v>181500</v>
      </c>
      <c r="E66" s="15">
        <f>E67</f>
        <v>198500</v>
      </c>
    </row>
    <row r="67" spans="1:11" x14ac:dyDescent="0.25">
      <c r="A67" s="10" t="s">
        <v>127</v>
      </c>
      <c r="B67" s="11">
        <f>SUM(B68:B70)</f>
        <v>129000</v>
      </c>
      <c r="C67" s="11">
        <f>SUM(C68:C70)</f>
        <v>168197.83799999999</v>
      </c>
      <c r="D67" s="11">
        <v>181500</v>
      </c>
      <c r="E67" s="11">
        <f>ROUNDUP(SUM(E68:E70),-2)</f>
        <v>198500</v>
      </c>
    </row>
    <row r="68" spans="1:11" x14ac:dyDescent="0.25">
      <c r="A68" t="s">
        <v>128</v>
      </c>
      <c r="B68" s="2">
        <v>117570</v>
      </c>
      <c r="C68" s="2">
        <f>B68*1.3334</f>
        <v>156767.83799999999</v>
      </c>
      <c r="D68" s="2">
        <v>160000</v>
      </c>
      <c r="E68" s="2">
        <v>176125</v>
      </c>
    </row>
    <row r="69" spans="1:11" s="1" customFormat="1" x14ac:dyDescent="0.25">
      <c r="A69" t="s">
        <v>129</v>
      </c>
      <c r="B69" s="2">
        <v>11430</v>
      </c>
      <c r="C69" s="2">
        <f>Table2[[#This Row],[Through 06/30/25]]</f>
        <v>11430</v>
      </c>
      <c r="D69" s="2">
        <v>11430</v>
      </c>
      <c r="E69" s="78">
        <v>12305</v>
      </c>
    </row>
    <row r="70" spans="1:11" s="10" customFormat="1" x14ac:dyDescent="0.25">
      <c r="A70" t="s">
        <v>130</v>
      </c>
      <c r="B70" s="2">
        <v>0</v>
      </c>
      <c r="C70" s="2">
        <f>B70*1.3334</f>
        <v>0</v>
      </c>
      <c r="D70" s="2">
        <v>10000</v>
      </c>
      <c r="E70" s="2">
        <v>10000</v>
      </c>
      <c r="K70"/>
    </row>
    <row r="71" spans="1:11" x14ac:dyDescent="0.25">
      <c r="A71" s="29"/>
      <c r="B71" s="30"/>
      <c r="C71" s="30"/>
      <c r="D71" s="30"/>
      <c r="E71" s="30"/>
    </row>
    <row r="72" spans="1:11" x14ac:dyDescent="0.25">
      <c r="A72" s="14" t="s">
        <v>131</v>
      </c>
      <c r="B72" s="15">
        <f>SUM(B73,B82)</f>
        <v>43304.9</v>
      </c>
      <c r="C72" s="15">
        <f>SUM(C73,C82)</f>
        <v>57742.753659999995</v>
      </c>
      <c r="D72" s="15">
        <v>80000</v>
      </c>
      <c r="E72" s="15">
        <f>SUM(E73,E82)</f>
        <v>67000</v>
      </c>
    </row>
    <row r="73" spans="1:11" x14ac:dyDescent="0.25">
      <c r="A73" s="10" t="s">
        <v>132</v>
      </c>
      <c r="B73" s="11">
        <f>SUM(B74:B80)</f>
        <v>43304.9</v>
      </c>
      <c r="C73" s="11">
        <f>SUM(C74:C80)</f>
        <v>57742.753659999995</v>
      </c>
      <c r="D73" s="11">
        <v>66000</v>
      </c>
      <c r="E73" s="11">
        <f>SUM(E74:E80)</f>
        <v>67000</v>
      </c>
    </row>
    <row r="74" spans="1:11" x14ac:dyDescent="0.25">
      <c r="A74" t="s">
        <v>133</v>
      </c>
      <c r="B74" s="2">
        <v>5816.86</v>
      </c>
      <c r="C74" s="2">
        <f t="shared" ref="C74:C80" si="0">B74*1.3334</f>
        <v>7756.2011239999993</v>
      </c>
      <c r="D74" s="2">
        <v>20000</v>
      </c>
      <c r="E74" s="2">
        <v>15000</v>
      </c>
    </row>
    <row r="75" spans="1:11" x14ac:dyDescent="0.25">
      <c r="A75" t="s">
        <v>134</v>
      </c>
      <c r="B75" s="2">
        <v>19010</v>
      </c>
      <c r="C75" s="2">
        <f t="shared" si="0"/>
        <v>25347.933999999997</v>
      </c>
      <c r="D75" s="2">
        <v>20000</v>
      </c>
      <c r="E75" s="2">
        <v>26000</v>
      </c>
    </row>
    <row r="76" spans="1:11" x14ac:dyDescent="0.25">
      <c r="A76" t="s">
        <v>135</v>
      </c>
      <c r="B76" s="2">
        <v>87.5</v>
      </c>
      <c r="C76" s="2">
        <f t="shared" si="0"/>
        <v>116.6725</v>
      </c>
      <c r="D76" s="2">
        <v>5000</v>
      </c>
      <c r="E76" s="2">
        <v>5000</v>
      </c>
    </row>
    <row r="77" spans="1:11" x14ac:dyDescent="0.25">
      <c r="A77" t="s">
        <v>136</v>
      </c>
      <c r="B77" s="2">
        <v>9248.99</v>
      </c>
      <c r="C77" s="2">
        <f t="shared" si="0"/>
        <v>12332.603265999998</v>
      </c>
      <c r="D77" s="2">
        <v>10000</v>
      </c>
      <c r="E77" s="2">
        <v>10000</v>
      </c>
    </row>
    <row r="78" spans="1:11" x14ac:dyDescent="0.25">
      <c r="A78" t="s">
        <v>288</v>
      </c>
      <c r="B78" s="2">
        <v>3328.72</v>
      </c>
      <c r="C78" s="2">
        <f t="shared" si="0"/>
        <v>4438.5152479999997</v>
      </c>
      <c r="D78" s="2">
        <v>5000</v>
      </c>
      <c r="E78" s="2">
        <v>5000</v>
      </c>
    </row>
    <row r="79" spans="1:11" s="10" customFormat="1" x14ac:dyDescent="0.25">
      <c r="A79" t="s">
        <v>137</v>
      </c>
      <c r="B79" s="2">
        <v>5812.83</v>
      </c>
      <c r="C79" s="2">
        <f t="shared" si="0"/>
        <v>7750.8275219999996</v>
      </c>
      <c r="D79" s="2">
        <v>5000</v>
      </c>
      <c r="E79" s="2">
        <v>5000</v>
      </c>
      <c r="K79"/>
    </row>
    <row r="80" spans="1:11" x14ac:dyDescent="0.25">
      <c r="A80" t="s">
        <v>138</v>
      </c>
      <c r="B80" s="2">
        <v>0</v>
      </c>
      <c r="C80" s="2">
        <f t="shared" si="0"/>
        <v>0</v>
      </c>
      <c r="D80" s="2">
        <v>1000</v>
      </c>
      <c r="E80" s="2">
        <v>1000</v>
      </c>
    </row>
    <row r="81" spans="1:11" x14ac:dyDescent="0.25">
      <c r="A81" s="29"/>
      <c r="B81" s="30"/>
      <c r="C81" s="30"/>
      <c r="D81" s="30"/>
      <c r="E81" s="30"/>
    </row>
    <row r="82" spans="1:11" hidden="1" x14ac:dyDescent="0.25">
      <c r="A82" s="10" t="s">
        <v>139</v>
      </c>
      <c r="B82" s="11">
        <f>SUM(B83,B84)</f>
        <v>0</v>
      </c>
      <c r="C82" s="11">
        <f>SUM(C83,C84)</f>
        <v>0</v>
      </c>
      <c r="D82" s="11">
        <v>14000</v>
      </c>
      <c r="E82" s="11">
        <f>SUM(E83,E84)</f>
        <v>0</v>
      </c>
    </row>
    <row r="83" spans="1:11" s="1" customFormat="1" hidden="1" x14ac:dyDescent="0.25">
      <c r="A83" t="s">
        <v>140</v>
      </c>
      <c r="B83" s="2">
        <v>0</v>
      </c>
      <c r="C83" s="2">
        <f>B83*1.3334</f>
        <v>0</v>
      </c>
      <c r="D83" s="2">
        <v>14000</v>
      </c>
      <c r="E83" s="2"/>
    </row>
    <row r="84" spans="1:11" s="10" customFormat="1" hidden="1" x14ac:dyDescent="0.25">
      <c r="A84" t="s">
        <v>141</v>
      </c>
      <c r="B84" s="2">
        <v>0</v>
      </c>
      <c r="C84" s="2">
        <v>0</v>
      </c>
      <c r="D84" s="2">
        <v>0</v>
      </c>
      <c r="E84" s="2">
        <v>0</v>
      </c>
      <c r="K84"/>
    </row>
    <row r="85" spans="1:11" hidden="1" x14ac:dyDescent="0.25">
      <c r="A85" s="29"/>
      <c r="B85" s="30"/>
      <c r="C85" s="30"/>
      <c r="D85" s="30"/>
      <c r="E85" s="30"/>
    </row>
    <row r="86" spans="1:11" x14ac:dyDescent="0.25">
      <c r="A86" s="14" t="s">
        <v>142</v>
      </c>
      <c r="B86" s="15">
        <f>SUM(B87,B96)</f>
        <v>74813.72</v>
      </c>
      <c r="C86" s="15">
        <f>SUM(C87,C96)</f>
        <v>95474.554673999999</v>
      </c>
      <c r="D86" s="15">
        <v>598000</v>
      </c>
      <c r="E86" s="15">
        <f>SUM(E87,E96)</f>
        <v>513000</v>
      </c>
    </row>
    <row r="87" spans="1:11" x14ac:dyDescent="0.25">
      <c r="A87" s="10" t="s">
        <v>143</v>
      </c>
      <c r="B87" s="11">
        <f>SUM(B88:B94)</f>
        <v>60969.990000000005</v>
      </c>
      <c r="C87" s="11">
        <f>SUM(C88:C94)</f>
        <v>77015.325091999999</v>
      </c>
      <c r="D87" s="11">
        <v>563000</v>
      </c>
      <c r="E87" s="11">
        <f>SUM(E88:E94)</f>
        <v>473000</v>
      </c>
    </row>
    <row r="88" spans="1:11" x14ac:dyDescent="0.25">
      <c r="A88" t="s">
        <v>144</v>
      </c>
      <c r="B88" s="2">
        <v>0</v>
      </c>
      <c r="C88" s="2">
        <v>0</v>
      </c>
      <c r="D88" s="2">
        <v>25000</v>
      </c>
      <c r="E88" s="2">
        <v>25000</v>
      </c>
    </row>
    <row r="89" spans="1:11" x14ac:dyDescent="0.25">
      <c r="A89" t="s">
        <v>145</v>
      </c>
      <c r="B89" s="2">
        <v>16762.79</v>
      </c>
      <c r="C89" s="2">
        <f>B89*1.3334</f>
        <v>22351.504185999998</v>
      </c>
      <c r="D89" s="2">
        <v>25000</v>
      </c>
      <c r="E89" s="2">
        <v>25000</v>
      </c>
    </row>
    <row r="90" spans="1:11" x14ac:dyDescent="0.25">
      <c r="A90" t="s">
        <v>146</v>
      </c>
      <c r="B90" s="2">
        <v>3163.96</v>
      </c>
      <c r="C90" s="2">
        <f>B90*1.3334</f>
        <v>4218.8242639999999</v>
      </c>
      <c r="D90" s="2">
        <v>50000</v>
      </c>
      <c r="E90" s="2">
        <v>30000</v>
      </c>
    </row>
    <row r="91" spans="1:11" x14ac:dyDescent="0.25">
      <c r="A91" t="s">
        <v>147</v>
      </c>
      <c r="B91" s="2">
        <v>988.08</v>
      </c>
      <c r="C91" s="2">
        <f t="shared" ref="C91:C93" si="1">B91*1.3334</f>
        <v>1317.505872</v>
      </c>
      <c r="D91" s="2">
        <v>3000</v>
      </c>
      <c r="E91" s="2">
        <v>3000</v>
      </c>
    </row>
    <row r="92" spans="1:11" x14ac:dyDescent="0.25">
      <c r="A92" t="s">
        <v>148</v>
      </c>
      <c r="B92" s="2">
        <v>26210</v>
      </c>
      <c r="C92" s="2">
        <f t="shared" si="1"/>
        <v>34948.413999999997</v>
      </c>
      <c r="D92" s="2">
        <v>40000</v>
      </c>
      <c r="E92" s="2">
        <v>40000</v>
      </c>
    </row>
    <row r="93" spans="1:11" s="10" customFormat="1" x14ac:dyDescent="0.25">
      <c r="A93" t="s">
        <v>149</v>
      </c>
      <c r="B93" s="2">
        <v>1001.55</v>
      </c>
      <c r="C93" s="2">
        <f t="shared" si="1"/>
        <v>1335.4667699999998</v>
      </c>
      <c r="D93" s="2">
        <v>400000</v>
      </c>
      <c r="E93" s="2">
        <v>300000</v>
      </c>
      <c r="K93"/>
    </row>
    <row r="94" spans="1:11" x14ac:dyDescent="0.25">
      <c r="A94" t="s">
        <v>150</v>
      </c>
      <c r="B94" s="2">
        <v>12843.61</v>
      </c>
      <c r="C94" s="2">
        <f>Table2[[#This Row],[Through 06/30/25]]</f>
        <v>12843.61</v>
      </c>
      <c r="D94" s="2">
        <v>20000</v>
      </c>
      <c r="E94" s="2">
        <v>50000</v>
      </c>
    </row>
    <row r="95" spans="1:11" x14ac:dyDescent="0.25">
      <c r="A95" s="29"/>
      <c r="B95" s="30"/>
      <c r="C95" s="30"/>
      <c r="D95" s="30"/>
      <c r="E95" s="30"/>
    </row>
    <row r="96" spans="1:11" x14ac:dyDescent="0.25">
      <c r="A96" s="10" t="s">
        <v>151</v>
      </c>
      <c r="B96" s="11">
        <f>SUM(B97:B98)</f>
        <v>13843.73</v>
      </c>
      <c r="C96" s="11">
        <f>SUM(C97:C98)</f>
        <v>18459.229582</v>
      </c>
      <c r="D96" s="11">
        <v>35000</v>
      </c>
      <c r="E96" s="11">
        <f>SUM(E97:E98)</f>
        <v>40000</v>
      </c>
    </row>
    <row r="97" spans="1:11" s="1" customFormat="1" x14ac:dyDescent="0.25">
      <c r="A97" t="s">
        <v>152</v>
      </c>
      <c r="B97" s="2">
        <v>10263.06</v>
      </c>
      <c r="C97" s="2">
        <f>B97*1.3334</f>
        <v>13684.764203999999</v>
      </c>
      <c r="D97" s="2">
        <v>20000</v>
      </c>
      <c r="E97" s="2">
        <v>20000</v>
      </c>
    </row>
    <row r="98" spans="1:11" x14ac:dyDescent="0.25">
      <c r="A98" t="s">
        <v>153</v>
      </c>
      <c r="B98" s="2">
        <v>3580.67</v>
      </c>
      <c r="C98" s="2">
        <f>B98*1.3334</f>
        <v>4774.4653779999999</v>
      </c>
      <c r="D98" s="2">
        <v>15000</v>
      </c>
      <c r="E98" s="2">
        <v>20000</v>
      </c>
    </row>
    <row r="99" spans="1:11" s="1" customFormat="1" x14ac:dyDescent="0.25">
      <c r="A99" s="29"/>
      <c r="B99" s="30"/>
      <c r="C99" s="30"/>
      <c r="D99" s="30"/>
      <c r="E99" s="30"/>
    </row>
    <row r="100" spans="1:11" s="10" customFormat="1" x14ac:dyDescent="0.25">
      <c r="A100" s="14" t="s">
        <v>154</v>
      </c>
      <c r="B100" s="15">
        <v>0</v>
      </c>
      <c r="C100" s="15">
        <v>0</v>
      </c>
      <c r="D100" s="15">
        <v>0</v>
      </c>
      <c r="E100" s="15">
        <v>0</v>
      </c>
      <c r="K100"/>
    </row>
    <row r="101" spans="1:11" x14ac:dyDescent="0.25">
      <c r="A101" s="29"/>
      <c r="B101" s="30"/>
      <c r="C101" s="30"/>
      <c r="D101" s="30"/>
      <c r="E101" s="30"/>
    </row>
    <row r="102" spans="1:11" x14ac:dyDescent="0.25">
      <c r="A102" s="14" t="s">
        <v>155</v>
      </c>
      <c r="B102" s="15">
        <f>SUM(B103,B109,B112,B115)</f>
        <v>128031.6</v>
      </c>
      <c r="C102" s="15">
        <f>SUM(C103,C109,C112,C115)</f>
        <v>323542.229636</v>
      </c>
      <c r="D102" s="15">
        <v>308700</v>
      </c>
      <c r="E102" s="15">
        <f>ROUNDUP(SUM(E103,E109,E112,E115),-2)</f>
        <v>368300</v>
      </c>
    </row>
    <row r="103" spans="1:11" x14ac:dyDescent="0.25">
      <c r="A103" s="10" t="s">
        <v>156</v>
      </c>
      <c r="B103" s="11">
        <f>B104</f>
        <v>24504.82</v>
      </c>
      <c r="C103" s="11">
        <f>C104</f>
        <v>185499.62118399999</v>
      </c>
      <c r="D103" s="11">
        <v>200400</v>
      </c>
      <c r="E103" s="11">
        <f>E104</f>
        <v>244900</v>
      </c>
    </row>
    <row r="104" spans="1:11" x14ac:dyDescent="0.25">
      <c r="A104" t="s">
        <v>157</v>
      </c>
      <c r="B104" s="2">
        <v>24504.82</v>
      </c>
      <c r="C104" s="2">
        <f>SUM(C105:C107)</f>
        <v>185499.62118399999</v>
      </c>
      <c r="D104" s="2">
        <v>200400</v>
      </c>
      <c r="E104" s="2">
        <f>ROUNDUP(WAGES!G88,-2)</f>
        <v>244900</v>
      </c>
    </row>
    <row r="105" spans="1:11" x14ac:dyDescent="0.25">
      <c r="A105" t="s">
        <v>158</v>
      </c>
      <c r="B105" s="2">
        <v>113790.38</v>
      </c>
      <c r="C105" s="2">
        <f>B105*1.3334</f>
        <v>151728.09269200001</v>
      </c>
      <c r="D105" s="2">
        <v>0</v>
      </c>
      <c r="E105" s="2">
        <v>0</v>
      </c>
    </row>
    <row r="106" spans="1:11" s="10" customFormat="1" x14ac:dyDescent="0.25">
      <c r="A106" t="s">
        <v>159</v>
      </c>
      <c r="B106" s="2">
        <v>13334.86</v>
      </c>
      <c r="C106" s="2">
        <f>B106*1.3334</f>
        <v>17780.702323999998</v>
      </c>
      <c r="D106" s="2">
        <v>0</v>
      </c>
      <c r="E106" s="2">
        <v>0</v>
      </c>
      <c r="K106"/>
    </row>
    <row r="107" spans="1:11" x14ac:dyDescent="0.25">
      <c r="A107" t="s">
        <v>160</v>
      </c>
      <c r="B107" s="2">
        <v>11992.52</v>
      </c>
      <c r="C107" s="2">
        <f>B107*1.3334</f>
        <v>15990.826168</v>
      </c>
      <c r="D107" s="2">
        <v>0</v>
      </c>
      <c r="E107" s="2">
        <v>0</v>
      </c>
    </row>
    <row r="108" spans="1:11" x14ac:dyDescent="0.25">
      <c r="A108" s="29"/>
      <c r="B108" s="30"/>
      <c r="C108" s="30"/>
      <c r="D108" s="30"/>
      <c r="E108" s="30"/>
    </row>
    <row r="109" spans="1:11" s="10" customFormat="1" x14ac:dyDescent="0.25">
      <c r="A109" s="10" t="s">
        <v>161</v>
      </c>
      <c r="B109" s="11">
        <f>B110</f>
        <v>12438.36</v>
      </c>
      <c r="C109" s="11">
        <f>C110</f>
        <v>16585.309224000001</v>
      </c>
      <c r="D109" s="11">
        <v>15400</v>
      </c>
      <c r="E109" s="11">
        <f>ROUNDUP(E110,-2)</f>
        <v>18800</v>
      </c>
      <c r="K109"/>
    </row>
    <row r="110" spans="1:11" x14ac:dyDescent="0.25">
      <c r="A110" t="s">
        <v>162</v>
      </c>
      <c r="B110" s="2">
        <v>12438.36</v>
      </c>
      <c r="C110" s="2">
        <f>B110*1.3334</f>
        <v>16585.309224000001</v>
      </c>
      <c r="D110" s="2">
        <v>15400</v>
      </c>
      <c r="E110" s="2">
        <f>ROUNDUP(WAGES!G90,-2)</f>
        <v>18800</v>
      </c>
    </row>
    <row r="111" spans="1:11" x14ac:dyDescent="0.25">
      <c r="A111" s="29"/>
      <c r="B111" s="30"/>
      <c r="C111" s="30"/>
      <c r="D111" s="30"/>
      <c r="E111" s="30"/>
    </row>
    <row r="112" spans="1:11" s="10" customFormat="1" x14ac:dyDescent="0.25">
      <c r="A112" s="10" t="s">
        <v>163</v>
      </c>
      <c r="B112" s="11">
        <f>B113</f>
        <v>22816.71</v>
      </c>
      <c r="C112" s="11">
        <f>C113</f>
        <v>30423.801113999998</v>
      </c>
      <c r="D112" s="11">
        <v>27400</v>
      </c>
      <c r="E112" s="11">
        <f>ROUNDUP(E113,-2)</f>
        <v>34400</v>
      </c>
      <c r="K112"/>
    </row>
    <row r="113" spans="1:11" x14ac:dyDescent="0.25">
      <c r="A113" t="s">
        <v>164</v>
      </c>
      <c r="B113" s="2">
        <v>22816.71</v>
      </c>
      <c r="C113" s="2">
        <f>B113*1.3334</f>
        <v>30423.801113999998</v>
      </c>
      <c r="D113" s="2">
        <v>27400</v>
      </c>
      <c r="E113" s="2">
        <f>ROUNDUP(WAGES!G89,-2)</f>
        <v>34400</v>
      </c>
    </row>
    <row r="114" spans="1:11" x14ac:dyDescent="0.25">
      <c r="A114" s="29"/>
      <c r="B114" s="30"/>
      <c r="C114" s="30"/>
      <c r="D114" s="30"/>
      <c r="E114" s="30"/>
    </row>
    <row r="115" spans="1:11" x14ac:dyDescent="0.25">
      <c r="A115" s="10" t="s">
        <v>165</v>
      </c>
      <c r="B115" s="11">
        <f>SUM(B116:B117)</f>
        <v>68271.710000000006</v>
      </c>
      <c r="C115" s="11">
        <f>SUM(C116:C117)</f>
        <v>91033.498114000002</v>
      </c>
      <c r="D115" s="11">
        <v>65500</v>
      </c>
      <c r="E115" s="11">
        <f>ROUNDUP(SUM(E116:E117),-2)</f>
        <v>70200</v>
      </c>
    </row>
    <row r="116" spans="1:11" s="1" customFormat="1" x14ac:dyDescent="0.25">
      <c r="A116" t="s">
        <v>166</v>
      </c>
      <c r="B116" s="2">
        <v>66830.720000000001</v>
      </c>
      <c r="C116" s="2">
        <f>B116*1.3334</f>
        <v>89112.082047999997</v>
      </c>
      <c r="D116" s="2">
        <v>63400</v>
      </c>
      <c r="E116" s="2">
        <f>ROUNDUP(WAGES!G91,-2)</f>
        <v>68200</v>
      </c>
    </row>
    <row r="117" spans="1:11" s="10" customFormat="1" x14ac:dyDescent="0.25">
      <c r="A117" t="s">
        <v>167</v>
      </c>
      <c r="B117" s="2">
        <v>1440.99</v>
      </c>
      <c r="C117" s="2">
        <f>B117*1.3334</f>
        <v>1921.416066</v>
      </c>
      <c r="D117" s="2">
        <v>2100</v>
      </c>
      <c r="E117" s="2">
        <f>ROUNDUP(WAGES!G92,-2)</f>
        <v>2000</v>
      </c>
      <c r="K117"/>
    </row>
    <row r="118" spans="1:11" x14ac:dyDescent="0.25">
      <c r="A118" s="29"/>
      <c r="B118" s="30"/>
      <c r="C118" s="30"/>
      <c r="D118" s="30"/>
      <c r="E118" s="30"/>
    </row>
    <row r="119" spans="1:11" x14ac:dyDescent="0.25">
      <c r="A119" s="14" t="s">
        <v>168</v>
      </c>
      <c r="B119" s="15">
        <f t="shared" ref="B119:E120" si="2">B120</f>
        <v>9590.41</v>
      </c>
      <c r="C119" s="15">
        <f t="shared" si="2"/>
        <v>12787.852693999999</v>
      </c>
      <c r="D119" s="15">
        <v>15000</v>
      </c>
      <c r="E119" s="15">
        <f t="shared" si="2"/>
        <v>20000</v>
      </c>
    </row>
    <row r="120" spans="1:11" s="1" customFormat="1" x14ac:dyDescent="0.25">
      <c r="A120" s="10" t="s">
        <v>169</v>
      </c>
      <c r="B120" s="11">
        <f t="shared" si="2"/>
        <v>9590.41</v>
      </c>
      <c r="C120" s="11">
        <f t="shared" si="2"/>
        <v>12787.852693999999</v>
      </c>
      <c r="D120" s="11">
        <v>15000</v>
      </c>
      <c r="E120" s="11">
        <f t="shared" si="2"/>
        <v>20000</v>
      </c>
    </row>
    <row r="121" spans="1:11" x14ac:dyDescent="0.25">
      <c r="A121" t="s">
        <v>170</v>
      </c>
      <c r="B121" s="2">
        <v>9590.41</v>
      </c>
      <c r="C121" s="2">
        <f>B121*1.3334</f>
        <v>12787.852693999999</v>
      </c>
      <c r="D121" s="2">
        <v>15000</v>
      </c>
      <c r="E121" s="2">
        <v>20000</v>
      </c>
    </row>
    <row r="122" spans="1:11" x14ac:dyDescent="0.25">
      <c r="A122" s="29"/>
      <c r="B122" s="30"/>
      <c r="C122" s="30"/>
      <c r="D122" s="30"/>
      <c r="E122" s="30"/>
    </row>
    <row r="123" spans="1:11" x14ac:dyDescent="0.25">
      <c r="A123" s="16" t="s">
        <v>171</v>
      </c>
      <c r="B123" s="17">
        <f>SUM(B3,B66,B72,B86,B100,B102,B119)</f>
        <v>903612.79999999993</v>
      </c>
      <c r="C123" s="17">
        <f>SUM(C3,C66,C72,C86,C100,C102,C119)</f>
        <v>1213025.9664439999</v>
      </c>
      <c r="D123" s="17">
        <f>SUM(D3,D66,D72,D86,D100,D102,D119)</f>
        <v>2435670</v>
      </c>
      <c r="E123" s="17">
        <f>SUM(E3,E66,E72,E86,E100,E102,E119)</f>
        <v>2464450</v>
      </c>
    </row>
    <row r="124" spans="1:11" x14ac:dyDescent="0.25">
      <c r="E124" s="2">
        <f>E123-E57</f>
        <v>1499100</v>
      </c>
    </row>
  </sheetData>
  <mergeCells count="1">
    <mergeCell ref="A1:E1"/>
  </mergeCells>
  <pageMargins left="0.7" right="0.7" top="0.75" bottom="0.75" header="0.3" footer="0.3"/>
  <pageSetup scale="90" fitToHeight="0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7183-8212-49F9-BE93-44911D72B014}">
  <sheetPr>
    <pageSetUpPr fitToPage="1"/>
  </sheetPr>
  <dimension ref="A1:E147"/>
  <sheetViews>
    <sheetView topLeftCell="A49" zoomScale="200" zoomScaleNormal="200" workbookViewId="0">
      <selection activeCell="E147" sqref="E147"/>
    </sheetView>
  </sheetViews>
  <sheetFormatPr defaultRowHeight="15" x14ac:dyDescent="0.25"/>
  <cols>
    <col min="1" max="1" width="36.7109375" bestFit="1" customWidth="1"/>
    <col min="2" max="5" width="15.7109375" style="2" customWidth="1"/>
  </cols>
  <sheetData>
    <row r="1" spans="1:5" ht="30" customHeight="1" x14ac:dyDescent="0.25">
      <c r="A1" s="80" t="s">
        <v>301</v>
      </c>
      <c r="B1" s="80"/>
      <c r="C1" s="80"/>
      <c r="D1" s="80"/>
      <c r="E1" s="80"/>
    </row>
    <row r="2" spans="1:5" ht="30" x14ac:dyDescent="0.25">
      <c r="A2" s="21" t="s">
        <v>0</v>
      </c>
      <c r="B2" s="13" t="s">
        <v>295</v>
      </c>
      <c r="C2" s="13" t="s">
        <v>296</v>
      </c>
      <c r="D2" s="13" t="s">
        <v>292</v>
      </c>
      <c r="E2" s="13" t="s">
        <v>293</v>
      </c>
    </row>
    <row r="3" spans="1:5" s="1" customFormat="1" x14ac:dyDescent="0.25">
      <c r="A3" s="22" t="s">
        <v>5</v>
      </c>
      <c r="B3" s="23">
        <v>0</v>
      </c>
      <c r="C3" s="23">
        <v>0</v>
      </c>
      <c r="D3" s="23">
        <v>0</v>
      </c>
      <c r="E3" s="23">
        <v>0</v>
      </c>
    </row>
    <row r="4" spans="1:5" x14ac:dyDescent="0.25">
      <c r="A4" s="29"/>
      <c r="B4" s="30"/>
      <c r="C4" s="30"/>
      <c r="D4" s="30"/>
      <c r="E4" s="30"/>
    </row>
    <row r="5" spans="1:5" s="1" customFormat="1" x14ac:dyDescent="0.25">
      <c r="A5" s="22" t="s">
        <v>23</v>
      </c>
      <c r="B5" s="23">
        <f>SUM(B6,B9)</f>
        <v>468144.43</v>
      </c>
      <c r="C5" s="23">
        <f>SUM(C6,C9)</f>
        <v>622781.49456199992</v>
      </c>
      <c r="D5" s="23">
        <v>659500</v>
      </c>
      <c r="E5" s="23">
        <f>SUM(E6,E9)</f>
        <v>605500</v>
      </c>
    </row>
    <row r="6" spans="1:5" s="12" customFormat="1" x14ac:dyDescent="0.25">
      <c r="A6" s="10" t="s">
        <v>172</v>
      </c>
      <c r="B6" s="11">
        <f>B7</f>
        <v>463818.43</v>
      </c>
      <c r="C6" s="11">
        <f>C7</f>
        <v>618455.49456199992</v>
      </c>
      <c r="D6" s="11">
        <v>650000</v>
      </c>
      <c r="E6" s="11">
        <f>E7</f>
        <v>600000</v>
      </c>
    </row>
    <row r="7" spans="1:5" x14ac:dyDescent="0.25">
      <c r="A7" t="s">
        <v>173</v>
      </c>
      <c r="B7" s="2">
        <v>463818.43</v>
      </c>
      <c r="C7" s="2">
        <f>Table3[[#This Row],[Through 06/30/25]]*1.3334</f>
        <v>618455.49456199992</v>
      </c>
      <c r="D7" s="2">
        <v>650000</v>
      </c>
      <c r="E7" s="2">
        <v>600000</v>
      </c>
    </row>
    <row r="8" spans="1:5" x14ac:dyDescent="0.25">
      <c r="A8" s="29"/>
      <c r="B8" s="30"/>
      <c r="C8" s="30"/>
      <c r="D8" s="30"/>
      <c r="E8" s="30"/>
    </row>
    <row r="9" spans="1:5" s="10" customFormat="1" x14ac:dyDescent="0.25">
      <c r="A9" s="10" t="s">
        <v>174</v>
      </c>
      <c r="B9" s="11">
        <f>SUM(B10:B12)</f>
        <v>4326</v>
      </c>
      <c r="C9" s="11">
        <f>SUM(C10:C12)</f>
        <v>4326</v>
      </c>
      <c r="D9" s="11">
        <v>9500</v>
      </c>
      <c r="E9" s="11">
        <f>SUM(E10:E12)</f>
        <v>5500</v>
      </c>
    </row>
    <row r="10" spans="1:5" x14ac:dyDescent="0.25">
      <c r="A10" t="s">
        <v>175</v>
      </c>
      <c r="B10" s="2">
        <v>2256</v>
      </c>
      <c r="C10" s="2">
        <f>Table3[[#This Row],[Through 06/30/25]]</f>
        <v>2256</v>
      </c>
      <c r="D10" s="2">
        <v>7000</v>
      </c>
      <c r="E10" s="2">
        <v>3000</v>
      </c>
    </row>
    <row r="11" spans="1:5" x14ac:dyDescent="0.25">
      <c r="A11" t="s">
        <v>176</v>
      </c>
      <c r="B11" s="2">
        <v>1210</v>
      </c>
      <c r="C11" s="2">
        <f>Table3[[#This Row],[Through 06/30/25]]</f>
        <v>1210</v>
      </c>
      <c r="D11" s="2">
        <v>2000</v>
      </c>
      <c r="E11" s="2">
        <v>2000</v>
      </c>
    </row>
    <row r="12" spans="1:5" x14ac:dyDescent="0.25">
      <c r="A12" t="s">
        <v>177</v>
      </c>
      <c r="B12" s="2">
        <v>860</v>
      </c>
      <c r="C12" s="2">
        <f>Table3[[#This Row],[Through 06/30/25]]</f>
        <v>860</v>
      </c>
      <c r="D12" s="2">
        <v>500</v>
      </c>
      <c r="E12" s="2">
        <v>500</v>
      </c>
    </row>
    <row r="13" spans="1:5" x14ac:dyDescent="0.25">
      <c r="A13" s="29"/>
      <c r="B13" s="30"/>
      <c r="C13" s="30"/>
      <c r="D13" s="30"/>
      <c r="E13" s="30"/>
    </row>
    <row r="14" spans="1:5" s="1" customFormat="1" x14ac:dyDescent="0.25">
      <c r="A14" s="22" t="s">
        <v>178</v>
      </c>
      <c r="B14" s="23">
        <v>0</v>
      </c>
      <c r="C14" s="23">
        <v>0</v>
      </c>
      <c r="D14" s="23">
        <v>0</v>
      </c>
      <c r="E14" s="23">
        <f>E101</f>
        <v>2600000</v>
      </c>
    </row>
    <row r="15" spans="1:5" s="1" customFormat="1" x14ac:dyDescent="0.25">
      <c r="A15" s="10" t="s">
        <v>29</v>
      </c>
      <c r="B15" s="11">
        <f>SUM(B16:B17)</f>
        <v>0</v>
      </c>
      <c r="C15" s="11">
        <f t="shared" ref="C15" si="0">SUM(C16:C17)</f>
        <v>0</v>
      </c>
      <c r="D15" s="11">
        <f t="shared" ref="D15" si="1">SUM(D16:D17)</f>
        <v>0</v>
      </c>
      <c r="E15" s="11">
        <f t="shared" ref="E15" si="2">SUM(E16:E17)</f>
        <v>2600000</v>
      </c>
    </row>
    <row r="16" spans="1:5" s="1" customFormat="1" x14ac:dyDescent="0.25">
      <c r="A16" t="s">
        <v>309</v>
      </c>
      <c r="B16" s="2">
        <v>0</v>
      </c>
      <c r="C16" s="2">
        <v>0</v>
      </c>
      <c r="D16" s="2">
        <v>0</v>
      </c>
      <c r="E16" s="2">
        <v>2300000</v>
      </c>
    </row>
    <row r="17" spans="1:5" s="1" customFormat="1" x14ac:dyDescent="0.25">
      <c r="A17" t="s">
        <v>310</v>
      </c>
      <c r="B17" s="2">
        <v>0</v>
      </c>
      <c r="C17" s="2">
        <v>0</v>
      </c>
      <c r="D17" s="2">
        <v>0</v>
      </c>
      <c r="E17" s="2">
        <v>300000</v>
      </c>
    </row>
    <row r="18" spans="1:5" x14ac:dyDescent="0.25">
      <c r="A18" s="29"/>
      <c r="B18" s="30"/>
      <c r="C18" s="30"/>
      <c r="D18" s="30"/>
      <c r="E18" s="30"/>
    </row>
    <row r="19" spans="1:5" s="1" customFormat="1" x14ac:dyDescent="0.25">
      <c r="A19" s="22" t="s">
        <v>36</v>
      </c>
      <c r="B19" s="23">
        <v>0</v>
      </c>
      <c r="C19" s="23">
        <v>0</v>
      </c>
      <c r="D19" s="23">
        <v>0</v>
      </c>
      <c r="E19" s="23">
        <v>0</v>
      </c>
    </row>
    <row r="20" spans="1:5" x14ac:dyDescent="0.25">
      <c r="A20" s="29"/>
      <c r="B20" s="30"/>
      <c r="C20" s="30"/>
      <c r="D20" s="30"/>
      <c r="E20" s="30"/>
    </row>
    <row r="21" spans="1:5" s="1" customFormat="1" x14ac:dyDescent="0.25">
      <c r="A21" s="22" t="s">
        <v>37</v>
      </c>
      <c r="B21" s="23">
        <f>SUM(B22,B25)</f>
        <v>4211.6099999999997</v>
      </c>
      <c r="C21" s="23">
        <f>SUM(C22,C25)</f>
        <v>5615.7607739999994</v>
      </c>
      <c r="D21" s="23">
        <v>2500</v>
      </c>
      <c r="E21" s="23">
        <f>SUM(E22,E25)</f>
        <v>4000</v>
      </c>
    </row>
    <row r="22" spans="1:5" s="10" customFormat="1" x14ac:dyDescent="0.25">
      <c r="A22" s="10" t="s">
        <v>38</v>
      </c>
      <c r="B22" s="11">
        <f>B23</f>
        <v>4211.6099999999997</v>
      </c>
      <c r="C22" s="11">
        <f>C23</f>
        <v>5615.7607739999994</v>
      </c>
      <c r="D22" s="11">
        <v>2500</v>
      </c>
      <c r="E22" s="11">
        <f>E23</f>
        <v>4000</v>
      </c>
    </row>
    <row r="23" spans="1:5" x14ac:dyDescent="0.25">
      <c r="A23" t="s">
        <v>39</v>
      </c>
      <c r="B23" s="2">
        <v>4211.6099999999997</v>
      </c>
      <c r="C23" s="2">
        <f>Table3[[#This Row],[Through 06/30/25]]*1.3334</f>
        <v>5615.7607739999994</v>
      </c>
      <c r="D23" s="2">
        <v>2500</v>
      </c>
      <c r="E23" s="2">
        <v>4000</v>
      </c>
    </row>
    <row r="24" spans="1:5" x14ac:dyDescent="0.25">
      <c r="A24" s="29"/>
      <c r="B24" s="30"/>
      <c r="C24" s="30"/>
      <c r="D24" s="30"/>
      <c r="E24" s="30"/>
    </row>
    <row r="25" spans="1:5" s="10" customFormat="1" x14ac:dyDescent="0.25">
      <c r="A25" s="10" t="s">
        <v>51</v>
      </c>
      <c r="B25" s="11">
        <f>SUM(B26,B27)</f>
        <v>0</v>
      </c>
      <c r="C25" s="11">
        <f>SUM(C26,C27)</f>
        <v>0</v>
      </c>
      <c r="D25" s="11">
        <v>0</v>
      </c>
      <c r="E25" s="11">
        <f>SUM(E26,E27)</f>
        <v>0</v>
      </c>
    </row>
    <row r="26" spans="1:5" x14ac:dyDescent="0.25">
      <c r="A26" t="s">
        <v>179</v>
      </c>
      <c r="B26" s="2">
        <v>0</v>
      </c>
      <c r="C26" s="2">
        <v>0</v>
      </c>
      <c r="D26" s="2">
        <v>0</v>
      </c>
      <c r="E26" s="2">
        <v>0</v>
      </c>
    </row>
    <row r="27" spans="1:5" x14ac:dyDescent="0.25">
      <c r="A27" t="s">
        <v>180</v>
      </c>
      <c r="B27" s="2">
        <v>0</v>
      </c>
      <c r="C27" s="2">
        <v>0</v>
      </c>
      <c r="D27" s="2">
        <v>0</v>
      </c>
      <c r="E27" s="2">
        <v>0</v>
      </c>
    </row>
    <row r="28" spans="1:5" x14ac:dyDescent="0.25">
      <c r="A28" s="29"/>
      <c r="B28" s="30"/>
      <c r="C28" s="30"/>
      <c r="D28" s="30"/>
      <c r="E28" s="30"/>
    </row>
    <row r="29" spans="1:5" s="1" customFormat="1" x14ac:dyDescent="0.25">
      <c r="A29" s="22" t="s">
        <v>53</v>
      </c>
      <c r="B29" s="23">
        <v>0</v>
      </c>
      <c r="C29" s="23">
        <v>0</v>
      </c>
      <c r="D29" s="23">
        <v>0</v>
      </c>
      <c r="E29" s="23">
        <v>0</v>
      </c>
    </row>
    <row r="30" spans="1:5" x14ac:dyDescent="0.25">
      <c r="A30" s="29"/>
      <c r="B30" s="30"/>
      <c r="C30" s="30"/>
      <c r="D30" s="30"/>
      <c r="E30" s="30"/>
    </row>
    <row r="31" spans="1:5" s="1" customFormat="1" x14ac:dyDescent="0.25">
      <c r="A31" s="22" t="s">
        <v>59</v>
      </c>
      <c r="B31" s="23">
        <v>0</v>
      </c>
      <c r="C31" s="23">
        <v>0</v>
      </c>
      <c r="D31" s="23">
        <v>0</v>
      </c>
      <c r="E31" s="23">
        <v>0</v>
      </c>
    </row>
    <row r="32" spans="1:5" x14ac:dyDescent="0.25">
      <c r="A32" s="29"/>
      <c r="B32" s="30"/>
      <c r="C32" s="30"/>
      <c r="D32" s="30"/>
      <c r="E32" s="30"/>
    </row>
    <row r="33" spans="1:5" s="1" customFormat="1" x14ac:dyDescent="0.25">
      <c r="A33" s="27" t="s">
        <v>60</v>
      </c>
      <c r="B33" s="28">
        <f>SUM(B3,B5,B14,B19,B21,B29,B31)</f>
        <v>472356.04</v>
      </c>
      <c r="C33" s="28">
        <f>SUM(C3,C5,C14,C19,C21,C29,C31)</f>
        <v>628397.25533599989</v>
      </c>
      <c r="D33" s="28">
        <v>662000</v>
      </c>
      <c r="E33" s="28">
        <f>SUM(E3,E5,E14,E19,E21,E29,E31)</f>
        <v>3209500</v>
      </c>
    </row>
    <row r="35" spans="1:5" s="1" customFormat="1" x14ac:dyDescent="0.25">
      <c r="A35" s="22" t="s">
        <v>61</v>
      </c>
      <c r="B35" s="23">
        <f>SUM(B36,B39,B43,B49)</f>
        <v>1195688.7</v>
      </c>
      <c r="C35" s="23">
        <f>SUM(C36,C39,C43,C49)</f>
        <v>1195688.7</v>
      </c>
      <c r="D35" s="23">
        <v>888400</v>
      </c>
      <c r="E35" s="23">
        <f>ROUNDUP(SUM(E36,E39,E43,E49),-2)</f>
        <v>1195700</v>
      </c>
    </row>
    <row r="36" spans="1:5" s="10" customFormat="1" x14ac:dyDescent="0.25">
      <c r="A36" s="10" t="s">
        <v>62</v>
      </c>
      <c r="B36" s="11">
        <f>B37</f>
        <v>634068.31999999995</v>
      </c>
      <c r="C36" s="11">
        <f>C37</f>
        <v>634068.31999999995</v>
      </c>
      <c r="D36" s="11">
        <v>343592</v>
      </c>
      <c r="E36" s="11">
        <f>E37</f>
        <v>634068.31999999995</v>
      </c>
    </row>
    <row r="37" spans="1:5" x14ac:dyDescent="0.25">
      <c r="A37" t="s">
        <v>181</v>
      </c>
      <c r="B37" s="2">
        <v>634068.31999999995</v>
      </c>
      <c r="C37" s="2">
        <f>Table3[[#This Row],[Through 06/30/25]]</f>
        <v>634068.31999999995</v>
      </c>
      <c r="D37" s="2">
        <v>343592</v>
      </c>
      <c r="E37" s="2">
        <f>Table3[[#This Row],[Extrapolated To 09/30/25]]</f>
        <v>634068.31999999995</v>
      </c>
    </row>
    <row r="38" spans="1:5" x14ac:dyDescent="0.25">
      <c r="A38" s="29"/>
      <c r="B38" s="30"/>
      <c r="C38" s="30"/>
      <c r="D38" s="30"/>
      <c r="E38" s="30"/>
    </row>
    <row r="39" spans="1:5" s="10" customFormat="1" x14ac:dyDescent="0.25">
      <c r="A39" s="10" t="s">
        <v>182</v>
      </c>
      <c r="B39" s="11">
        <f>SUM(B40,B41)</f>
        <v>119242.13</v>
      </c>
      <c r="C39" s="11">
        <f>SUM(C40,C41)</f>
        <v>119242.13</v>
      </c>
      <c r="D39" s="11">
        <v>114664.15</v>
      </c>
      <c r="E39" s="11">
        <f>SUM(E40,E41)</f>
        <v>119242.13</v>
      </c>
    </row>
    <row r="40" spans="1:5" x14ac:dyDescent="0.25">
      <c r="A40" t="s">
        <v>183</v>
      </c>
      <c r="B40" s="2">
        <v>83523.97</v>
      </c>
      <c r="C40" s="2">
        <f>Table3[[#This Row],[Through 06/30/25]]</f>
        <v>83523.97</v>
      </c>
      <c r="D40" s="2">
        <v>79238.87</v>
      </c>
      <c r="E40" s="2">
        <f>Table3[[#This Row],[Extrapolated To 09/30/25]]</f>
        <v>83523.97</v>
      </c>
    </row>
    <row r="41" spans="1:5" x14ac:dyDescent="0.25">
      <c r="A41" t="s">
        <v>184</v>
      </c>
      <c r="B41" s="2">
        <v>35718.160000000003</v>
      </c>
      <c r="C41" s="2">
        <f>Table3[[#This Row],[Through 06/30/25]]</f>
        <v>35718.160000000003</v>
      </c>
      <c r="D41" s="2">
        <v>35425.279999999999</v>
      </c>
      <c r="E41" s="2">
        <f>Table3[[#This Row],[Extrapolated To 09/30/25]]</f>
        <v>35718.160000000003</v>
      </c>
    </row>
    <row r="42" spans="1:5" x14ac:dyDescent="0.25">
      <c r="A42" s="29"/>
      <c r="B42" s="30"/>
      <c r="C42" s="30"/>
      <c r="D42" s="30"/>
      <c r="E42" s="30"/>
    </row>
    <row r="43" spans="1:5" s="10" customFormat="1" x14ac:dyDescent="0.25">
      <c r="A43" s="10" t="s">
        <v>65</v>
      </c>
      <c r="B43" s="11">
        <f>SUM(B44:B47)</f>
        <v>222379.37</v>
      </c>
      <c r="C43" s="11">
        <f>SUM(C44:C47)</f>
        <v>222379.37</v>
      </c>
      <c r="D43" s="11">
        <v>217303.21</v>
      </c>
      <c r="E43" s="11">
        <f>SUM(E44:E47)</f>
        <v>222379.37</v>
      </c>
    </row>
    <row r="44" spans="1:5" x14ac:dyDescent="0.25">
      <c r="A44" t="s">
        <v>185</v>
      </c>
      <c r="B44" s="2">
        <v>76721.759999999995</v>
      </c>
      <c r="C44" s="2">
        <f>Table3[[#This Row],[Through 06/30/25]]</f>
        <v>76721.759999999995</v>
      </c>
      <c r="D44" s="2">
        <v>73810.13</v>
      </c>
      <c r="E44" s="2">
        <f>Table3[[#This Row],[Extrapolated To 09/30/25]]</f>
        <v>76721.759999999995</v>
      </c>
    </row>
    <row r="45" spans="1:5" x14ac:dyDescent="0.25">
      <c r="A45" s="6" t="s">
        <v>186</v>
      </c>
      <c r="B45" s="2">
        <v>58649.2</v>
      </c>
      <c r="C45" s="2">
        <f>Table3[[#This Row],[Through 06/30/25]]</f>
        <v>58649.2</v>
      </c>
      <c r="D45" s="2">
        <v>57777.65</v>
      </c>
      <c r="E45" s="2">
        <f>Table3[[#This Row],[Extrapolated To 09/30/25]]</f>
        <v>58649.2</v>
      </c>
    </row>
    <row r="46" spans="1:5" x14ac:dyDescent="0.25">
      <c r="A46" s="6" t="s">
        <v>187</v>
      </c>
      <c r="B46" s="2">
        <v>29002.799999999999</v>
      </c>
      <c r="C46" s="2">
        <f>Table3[[#This Row],[Through 06/30/25]]</f>
        <v>29002.799999999999</v>
      </c>
      <c r="D46" s="2">
        <v>28571.81</v>
      </c>
      <c r="E46" s="2">
        <f>Table3[[#This Row],[Extrapolated To 09/30/25]]</f>
        <v>29002.799999999999</v>
      </c>
    </row>
    <row r="47" spans="1:5" x14ac:dyDescent="0.25">
      <c r="A47" s="6" t="s">
        <v>188</v>
      </c>
      <c r="B47" s="2">
        <v>58005.61</v>
      </c>
      <c r="C47" s="2">
        <f>Table3[[#This Row],[Through 06/30/25]]</f>
        <v>58005.61</v>
      </c>
      <c r="D47" s="2">
        <v>57143.62</v>
      </c>
      <c r="E47" s="2">
        <f>Table3[[#This Row],[Extrapolated To 09/30/25]]</f>
        <v>58005.61</v>
      </c>
    </row>
    <row r="48" spans="1:5" x14ac:dyDescent="0.25">
      <c r="A48" s="29"/>
      <c r="B48" s="30"/>
      <c r="C48" s="30"/>
      <c r="D48" s="30"/>
      <c r="E48" s="30"/>
    </row>
    <row r="49" spans="1:5" s="10" customFormat="1" x14ac:dyDescent="0.25">
      <c r="A49" s="10" t="s">
        <v>189</v>
      </c>
      <c r="B49" s="11">
        <f>SUM(B50:B51)</f>
        <v>219998.88</v>
      </c>
      <c r="C49" s="11">
        <f>SUM(C50:C51)</f>
        <v>219998.88</v>
      </c>
      <c r="D49" s="11">
        <v>212825.36</v>
      </c>
      <c r="E49" s="11">
        <f>SUM(E50:E51)</f>
        <v>219998.88</v>
      </c>
    </row>
    <row r="50" spans="1:5" x14ac:dyDescent="0.25">
      <c r="A50" t="s">
        <v>190</v>
      </c>
      <c r="B50" s="2">
        <v>173530.59</v>
      </c>
      <c r="C50" s="2">
        <f>Table3[[#This Row],[Through 06/30/25]]</f>
        <v>173530.59</v>
      </c>
      <c r="D50" s="2">
        <v>168704.72</v>
      </c>
      <c r="E50" s="2">
        <f>Table3[[#This Row],[Extrapolated To 09/30/25]]</f>
        <v>173530.59</v>
      </c>
    </row>
    <row r="51" spans="1:5" x14ac:dyDescent="0.25">
      <c r="A51" t="s">
        <v>191</v>
      </c>
      <c r="B51" s="2">
        <v>46468.29</v>
      </c>
      <c r="C51" s="2">
        <f>Table3[[#This Row],[Through 06/30/25]]</f>
        <v>46468.29</v>
      </c>
      <c r="D51" s="2">
        <v>44120.639999999999</v>
      </c>
      <c r="E51" s="2">
        <f>Table3[[#This Row],[Extrapolated To 09/30/25]]</f>
        <v>46468.29</v>
      </c>
    </row>
    <row r="52" spans="1:5" x14ac:dyDescent="0.25">
      <c r="A52" s="29"/>
      <c r="B52" s="30"/>
      <c r="C52" s="30"/>
      <c r="D52" s="30"/>
      <c r="E52" s="30"/>
    </row>
    <row r="53" spans="1:5" s="1" customFormat="1" x14ac:dyDescent="0.25">
      <c r="A53" s="27" t="s">
        <v>72</v>
      </c>
      <c r="B53" s="28">
        <f>B33+B35</f>
        <v>1668044.74</v>
      </c>
      <c r="C53" s="28">
        <f>C33+C35</f>
        <v>1824085.9553359998</v>
      </c>
      <c r="D53" s="28">
        <f>D33+D35</f>
        <v>1550400</v>
      </c>
      <c r="E53" s="28">
        <f>E33+E35</f>
        <v>4405200</v>
      </c>
    </row>
    <row r="54" spans="1:5" s="1" customFormat="1" x14ac:dyDescent="0.25">
      <c r="A54" s="19" t="s">
        <v>73</v>
      </c>
      <c r="B54" s="20"/>
      <c r="C54" s="20"/>
      <c r="D54" s="20"/>
      <c r="E54" s="20">
        <f>E33-E147</f>
        <v>-87450</v>
      </c>
    </row>
    <row r="56" spans="1:5" ht="30" customHeight="1" x14ac:dyDescent="0.25">
      <c r="A56" s="80" t="s">
        <v>298</v>
      </c>
      <c r="B56" s="80"/>
      <c r="C56" s="80"/>
      <c r="D56" s="80"/>
      <c r="E56" s="80"/>
    </row>
    <row r="57" spans="1:5" ht="30" x14ac:dyDescent="0.25">
      <c r="A57" s="18" t="s">
        <v>192</v>
      </c>
      <c r="B57" s="13" t="s">
        <v>295</v>
      </c>
      <c r="C57" s="13" t="s">
        <v>296</v>
      </c>
      <c r="D57" s="13" t="s">
        <v>292</v>
      </c>
      <c r="E57" s="13" t="s">
        <v>293</v>
      </c>
    </row>
    <row r="58" spans="1:5" x14ac:dyDescent="0.25">
      <c r="A58" s="24" t="s">
        <v>74</v>
      </c>
      <c r="B58" s="25">
        <f>SUM(B59,B65,B69,B73,B78,B85,B88,B94,B97)</f>
        <v>125609.73000000001</v>
      </c>
      <c r="C58" s="25">
        <f>SUM(C59,C65,C69,C73,C78,C85,C88,C94,C97)</f>
        <v>171256.09688</v>
      </c>
      <c r="D58" s="25">
        <v>429750</v>
      </c>
      <c r="E58" s="25">
        <f>SUM(E59,E65,E69,E73,E78,E85,E88,E94,E97,E101)</f>
        <v>3001650</v>
      </c>
    </row>
    <row r="59" spans="1:5" x14ac:dyDescent="0.25">
      <c r="A59" s="10" t="s">
        <v>193</v>
      </c>
      <c r="B59" s="11">
        <f>SUM(B60:B63)</f>
        <v>3680.7</v>
      </c>
      <c r="C59" s="11">
        <f>SUM(C60:C63)</f>
        <v>14939.405000000001</v>
      </c>
      <c r="D59" s="11">
        <v>40900</v>
      </c>
      <c r="E59" s="11">
        <f>SUM(E60:E63)</f>
        <v>33000</v>
      </c>
    </row>
    <row r="60" spans="1:5" x14ac:dyDescent="0.25">
      <c r="A60" t="s">
        <v>194</v>
      </c>
      <c r="B60" s="2">
        <v>1057.5</v>
      </c>
      <c r="C60" s="2">
        <f>Table5[[#This Row],[Through 06/30/25]]*1.334</f>
        <v>1410.7050000000002</v>
      </c>
      <c r="D60" s="2">
        <v>7500</v>
      </c>
      <c r="E60" s="2">
        <v>7500</v>
      </c>
    </row>
    <row r="61" spans="1:5" x14ac:dyDescent="0.25">
      <c r="A61" t="s">
        <v>195</v>
      </c>
      <c r="B61" s="2">
        <v>1445</v>
      </c>
      <c r="C61" s="2">
        <v>12100</v>
      </c>
      <c r="D61" s="2">
        <v>13000</v>
      </c>
      <c r="E61" s="2">
        <v>15000</v>
      </c>
    </row>
    <row r="62" spans="1:5" x14ac:dyDescent="0.25">
      <c r="A62" t="s">
        <v>196</v>
      </c>
      <c r="B62" s="2">
        <v>750</v>
      </c>
      <c r="C62" s="2">
        <f>Table5[[#This Row],[Through 06/30/25]]*1.334</f>
        <v>1000.5</v>
      </c>
      <c r="D62" s="2">
        <v>20000</v>
      </c>
      <c r="E62" s="2">
        <v>10000</v>
      </c>
    </row>
    <row r="63" spans="1:5" x14ac:dyDescent="0.25">
      <c r="A63" t="s">
        <v>197</v>
      </c>
      <c r="B63" s="2">
        <v>428.2</v>
      </c>
      <c r="C63" s="2">
        <f>Table5[[#This Row],[Through 06/30/25]]</f>
        <v>428.2</v>
      </c>
      <c r="D63" s="2">
        <v>400</v>
      </c>
      <c r="E63" s="2">
        <v>500</v>
      </c>
    </row>
    <row r="64" spans="1:5" x14ac:dyDescent="0.25">
      <c r="A64" s="29"/>
      <c r="B64" s="30"/>
      <c r="C64" s="30"/>
      <c r="D64" s="30"/>
      <c r="E64" s="30"/>
    </row>
    <row r="65" spans="1:5" x14ac:dyDescent="0.25">
      <c r="A65" s="10" t="s">
        <v>198</v>
      </c>
      <c r="B65" s="11">
        <f>SUM(B66:B67)</f>
        <v>916.69</v>
      </c>
      <c r="C65" s="11">
        <f>SUM(C66:C67)</f>
        <v>1222.4444599999999</v>
      </c>
      <c r="D65" s="11">
        <v>4000</v>
      </c>
      <c r="E65" s="11">
        <f>SUM(E66:E67)</f>
        <v>3000</v>
      </c>
    </row>
    <row r="66" spans="1:5" x14ac:dyDescent="0.25">
      <c r="A66" t="s">
        <v>199</v>
      </c>
      <c r="B66" s="2">
        <v>630</v>
      </c>
      <c r="C66" s="2">
        <v>840</v>
      </c>
      <c r="D66" s="2">
        <v>1000</v>
      </c>
      <c r="E66" s="2">
        <v>1000</v>
      </c>
    </row>
    <row r="67" spans="1:5" x14ac:dyDescent="0.25">
      <c r="A67" t="s">
        <v>200</v>
      </c>
      <c r="B67" s="2">
        <v>286.69</v>
      </c>
      <c r="C67" s="2">
        <f>Table5[[#This Row],[Through 06/30/25]]*1.334</f>
        <v>382.44445999999999</v>
      </c>
      <c r="D67" s="2">
        <v>3000</v>
      </c>
      <c r="E67" s="2">
        <v>2000</v>
      </c>
    </row>
    <row r="68" spans="1:5" x14ac:dyDescent="0.25">
      <c r="A68" s="29"/>
      <c r="B68" s="30"/>
      <c r="C68" s="30"/>
      <c r="D68" s="30"/>
      <c r="E68" s="30"/>
    </row>
    <row r="69" spans="1:5" x14ac:dyDescent="0.25">
      <c r="A69" s="10" t="s">
        <v>201</v>
      </c>
      <c r="B69" s="11">
        <f>SUM(B70:B71)</f>
        <v>10756.28</v>
      </c>
      <c r="C69" s="11">
        <f>SUM(C70:C71)</f>
        <v>14348.877520000002</v>
      </c>
      <c r="D69" s="11">
        <v>21500</v>
      </c>
      <c r="E69" s="11">
        <f>SUM(E70:E71)</f>
        <v>21500</v>
      </c>
    </row>
    <row r="70" spans="1:5" x14ac:dyDescent="0.25">
      <c r="A70" t="s">
        <v>202</v>
      </c>
      <c r="B70" s="2">
        <v>8968.58</v>
      </c>
      <c r="C70" s="2">
        <f>Table5[[#This Row],[Through 06/30/25]]*1.334</f>
        <v>11964.085720000001</v>
      </c>
      <c r="D70" s="2">
        <v>18000</v>
      </c>
      <c r="E70" s="2">
        <v>18000</v>
      </c>
    </row>
    <row r="71" spans="1:5" x14ac:dyDescent="0.25">
      <c r="A71" t="s">
        <v>203</v>
      </c>
      <c r="B71" s="2">
        <v>1787.7</v>
      </c>
      <c r="C71" s="2">
        <f>Table5[[#This Row],[Through 06/30/25]]*1.334</f>
        <v>2384.7918000000004</v>
      </c>
      <c r="D71" s="2">
        <v>3500</v>
      </c>
      <c r="E71" s="2">
        <v>3500</v>
      </c>
    </row>
    <row r="72" spans="1:5" x14ac:dyDescent="0.25">
      <c r="A72" s="29"/>
      <c r="B72" s="30"/>
      <c r="C72" s="30"/>
      <c r="D72" s="30"/>
      <c r="E72" s="30"/>
    </row>
    <row r="73" spans="1:5" x14ac:dyDescent="0.25">
      <c r="A73" s="10" t="s">
        <v>102</v>
      </c>
      <c r="B73" s="11">
        <f>SUM(B74:B76)</f>
        <v>20828.259999999998</v>
      </c>
      <c r="C73" s="11">
        <f>SUM(C74:C76)</f>
        <v>27784.898840000002</v>
      </c>
      <c r="D73" s="11">
        <v>28900</v>
      </c>
      <c r="E73" s="11">
        <f>SUM(E74:E76)</f>
        <v>29700</v>
      </c>
    </row>
    <row r="74" spans="1:5" x14ac:dyDescent="0.25">
      <c r="A74" t="s">
        <v>204</v>
      </c>
      <c r="B74" s="2">
        <v>6261.21</v>
      </c>
      <c r="C74" s="2">
        <f>Table5[[#This Row],[Through 06/30/25]]*1.334</f>
        <v>8352.4541399999998</v>
      </c>
      <c r="D74" s="2">
        <v>8500</v>
      </c>
      <c r="E74" s="2">
        <f>ROUNDUP((((EXPENDITURES!K5+EXPENDITURES!K6)*0.5)+(EXPENDITURES!K7*EXPENDITURES!WF)),-2)</f>
        <v>9600</v>
      </c>
    </row>
    <row r="75" spans="1:5" x14ac:dyDescent="0.25">
      <c r="A75" t="s">
        <v>205</v>
      </c>
      <c r="B75" s="2">
        <v>8686.07</v>
      </c>
      <c r="C75" s="2">
        <f>Table5[[#This Row],[Through 06/30/25]]*1.334</f>
        <v>11587.21738</v>
      </c>
      <c r="D75" s="2">
        <v>11700</v>
      </c>
      <c r="E75" s="2">
        <f>ROUNDUP(((EXPENDITURES!K9*0.5)+(EXPENDITURES!K10*EXPENDITURES!WF)),-2)</f>
        <v>10800</v>
      </c>
    </row>
    <row r="76" spans="1:5" x14ac:dyDescent="0.25">
      <c r="A76" t="s">
        <v>206</v>
      </c>
      <c r="B76" s="2">
        <v>5880.98</v>
      </c>
      <c r="C76" s="2">
        <f>Table5[[#This Row],[Through 06/30/25]]*1.334</f>
        <v>7845.22732</v>
      </c>
      <c r="D76" s="2">
        <v>8700</v>
      </c>
      <c r="E76" s="2">
        <f>ROUNDUP((EXPENDITURES!K12*EXPENDITURES!WF),-2)</f>
        <v>9300</v>
      </c>
    </row>
    <row r="77" spans="1:5" x14ac:dyDescent="0.25">
      <c r="A77" s="29"/>
      <c r="B77" s="30"/>
      <c r="C77" s="30"/>
      <c r="D77" s="30"/>
      <c r="E77" s="30"/>
    </row>
    <row r="78" spans="1:5" x14ac:dyDescent="0.25">
      <c r="A78" s="10" t="s">
        <v>207</v>
      </c>
      <c r="B78" s="11">
        <f>SUM(B79:B83)</f>
        <v>77164.37999999999</v>
      </c>
      <c r="C78" s="11">
        <f>SUM(C79:C83)</f>
        <v>96101.568780000001</v>
      </c>
      <c r="D78" s="11">
        <v>180500</v>
      </c>
      <c r="E78" s="11">
        <f>SUM(E79:E83)</f>
        <v>185500</v>
      </c>
    </row>
    <row r="79" spans="1:5" x14ac:dyDescent="0.25">
      <c r="A79" t="s">
        <v>208</v>
      </c>
      <c r="B79" s="2">
        <v>29962.3</v>
      </c>
      <c r="C79" s="2">
        <f>Table5[[#This Row],[Through 06/30/25]]*1.334</f>
        <v>39969.708200000001</v>
      </c>
      <c r="D79" s="2">
        <v>70000</v>
      </c>
      <c r="E79" s="2">
        <v>70000</v>
      </c>
    </row>
    <row r="80" spans="1:5" x14ac:dyDescent="0.25">
      <c r="A80" t="s">
        <v>209</v>
      </c>
      <c r="B80" s="2">
        <v>18466.21</v>
      </c>
      <c r="C80" s="2">
        <f>Table5[[#This Row],[Through 06/30/25]]</f>
        <v>18466.21</v>
      </c>
      <c r="D80" s="2">
        <v>18500</v>
      </c>
      <c r="E80" s="2">
        <v>18500</v>
      </c>
    </row>
    <row r="81" spans="1:5" x14ac:dyDescent="0.25">
      <c r="A81" t="s">
        <v>210</v>
      </c>
      <c r="B81" s="2">
        <v>0</v>
      </c>
      <c r="C81" s="2">
        <v>0</v>
      </c>
      <c r="D81" s="2">
        <v>50000</v>
      </c>
      <c r="E81" s="2">
        <v>50000</v>
      </c>
    </row>
    <row r="82" spans="1:5" x14ac:dyDescent="0.25">
      <c r="A82" t="s">
        <v>211</v>
      </c>
      <c r="B82" s="2">
        <v>26735.87</v>
      </c>
      <c r="C82" s="2">
        <f>Table5[[#This Row],[Through 06/30/25]]*1.334</f>
        <v>35665.650580000001</v>
      </c>
      <c r="D82" s="2">
        <v>40000</v>
      </c>
      <c r="E82" s="2">
        <v>45000</v>
      </c>
    </row>
    <row r="83" spans="1:5" x14ac:dyDescent="0.25">
      <c r="A83" t="s">
        <v>212</v>
      </c>
      <c r="B83" s="2">
        <v>2000</v>
      </c>
      <c r="C83" s="2">
        <v>2000</v>
      </c>
      <c r="D83" s="2">
        <v>2000</v>
      </c>
      <c r="E83" s="2">
        <v>2000</v>
      </c>
    </row>
    <row r="84" spans="1:5" x14ac:dyDescent="0.25">
      <c r="A84" s="29"/>
      <c r="B84" s="30"/>
      <c r="C84" s="30"/>
      <c r="D84" s="30"/>
      <c r="E84" s="30"/>
    </row>
    <row r="85" spans="1:5" x14ac:dyDescent="0.25">
      <c r="A85" s="10" t="s">
        <v>213</v>
      </c>
      <c r="B85" s="11">
        <f>B86</f>
        <v>750</v>
      </c>
      <c r="C85" s="11">
        <f>C86</f>
        <v>1500</v>
      </c>
      <c r="D85" s="11">
        <v>1500</v>
      </c>
      <c r="E85" s="11">
        <f>E86</f>
        <v>1500</v>
      </c>
    </row>
    <row r="86" spans="1:5" x14ac:dyDescent="0.25">
      <c r="A86" t="s">
        <v>214</v>
      </c>
      <c r="B86" s="2">
        <v>750</v>
      </c>
      <c r="C86" s="2">
        <v>1500</v>
      </c>
      <c r="D86" s="2">
        <v>1500</v>
      </c>
      <c r="E86" s="2">
        <v>1500</v>
      </c>
    </row>
    <row r="87" spans="1:5" x14ac:dyDescent="0.25">
      <c r="A87" s="29"/>
      <c r="B87" s="30"/>
      <c r="C87" s="30"/>
      <c r="D87" s="30"/>
      <c r="E87" s="30"/>
    </row>
    <row r="88" spans="1:5" x14ac:dyDescent="0.25">
      <c r="A88" s="10" t="s">
        <v>215</v>
      </c>
      <c r="B88" s="11">
        <f>SUM(B89:B92)</f>
        <v>115.57</v>
      </c>
      <c r="C88" s="11">
        <f>SUM(C89:C92)</f>
        <v>154.17037999999999</v>
      </c>
      <c r="D88" s="11">
        <v>2450</v>
      </c>
      <c r="E88" s="11">
        <f>SUM(E89:E92)</f>
        <v>2450</v>
      </c>
    </row>
    <row r="89" spans="1:5" x14ac:dyDescent="0.25">
      <c r="A89" t="s">
        <v>216</v>
      </c>
      <c r="B89" s="2">
        <v>0</v>
      </c>
      <c r="C89" s="2">
        <f>Table5[[#This Row],[Through 06/30/25]]*1.334</f>
        <v>0</v>
      </c>
      <c r="D89" s="2">
        <v>500</v>
      </c>
      <c r="E89" s="2">
        <v>500</v>
      </c>
    </row>
    <row r="90" spans="1:5" x14ac:dyDescent="0.25">
      <c r="A90" t="s">
        <v>217</v>
      </c>
      <c r="B90" s="2">
        <v>115.57</v>
      </c>
      <c r="C90" s="2">
        <f>Table5[[#This Row],[Through 06/30/25]]*1.334</f>
        <v>154.17037999999999</v>
      </c>
      <c r="D90" s="2">
        <v>1500</v>
      </c>
      <c r="E90" s="2">
        <v>1500</v>
      </c>
    </row>
    <row r="91" spans="1:5" x14ac:dyDescent="0.25">
      <c r="A91" t="s">
        <v>218</v>
      </c>
      <c r="B91" s="2">
        <v>0</v>
      </c>
      <c r="C91" s="2">
        <f>Table5[[#This Row],[Through 06/30/25]]*1.334</f>
        <v>0</v>
      </c>
      <c r="D91" s="2">
        <v>250</v>
      </c>
      <c r="E91" s="2">
        <v>250</v>
      </c>
    </row>
    <row r="92" spans="1:5" x14ac:dyDescent="0.25">
      <c r="A92" t="s">
        <v>219</v>
      </c>
      <c r="B92" s="2">
        <v>0</v>
      </c>
      <c r="C92" s="2">
        <f>Table5[[#This Row],[Through 06/30/25]]*1.334</f>
        <v>0</v>
      </c>
      <c r="D92" s="2">
        <v>200</v>
      </c>
      <c r="E92" s="2">
        <v>200</v>
      </c>
    </row>
    <row r="93" spans="1:5" x14ac:dyDescent="0.25">
      <c r="A93" s="29"/>
      <c r="B93" s="30"/>
      <c r="C93" s="30"/>
      <c r="D93" s="30"/>
      <c r="E93" s="30"/>
    </row>
    <row r="94" spans="1:5" x14ac:dyDescent="0.25">
      <c r="A94" s="10" t="s">
        <v>117</v>
      </c>
      <c r="B94" s="11">
        <f>B95</f>
        <v>11397.85</v>
      </c>
      <c r="C94" s="11">
        <f>C95</f>
        <v>15204.731900000001</v>
      </c>
      <c r="D94" s="11">
        <v>100000</v>
      </c>
      <c r="E94" s="11">
        <f>E95</f>
        <v>75000</v>
      </c>
    </row>
    <row r="95" spans="1:5" x14ac:dyDescent="0.25">
      <c r="A95" t="s">
        <v>220</v>
      </c>
      <c r="B95" s="2">
        <v>11397.85</v>
      </c>
      <c r="C95" s="2">
        <f>Table5[[#This Row],[Through 06/30/25]]*1.334</f>
        <v>15204.731900000001</v>
      </c>
      <c r="D95" s="2">
        <v>100000</v>
      </c>
      <c r="E95" s="2">
        <v>75000</v>
      </c>
    </row>
    <row r="96" spans="1:5" x14ac:dyDescent="0.25">
      <c r="A96" s="29"/>
      <c r="B96" s="30"/>
      <c r="C96" s="30"/>
      <c r="D96" s="30"/>
      <c r="E96" s="30"/>
    </row>
    <row r="97" spans="1:5" s="10" customFormat="1" x14ac:dyDescent="0.25">
      <c r="A97" s="10" t="s">
        <v>221</v>
      </c>
      <c r="B97" s="11">
        <f>SUM(B98:B99)</f>
        <v>0</v>
      </c>
      <c r="C97" s="11">
        <f>SUM(C98:C99)</f>
        <v>0</v>
      </c>
      <c r="D97" s="11">
        <v>50000</v>
      </c>
      <c r="E97" s="11">
        <f>SUM(E98:E99)</f>
        <v>50000</v>
      </c>
    </row>
    <row r="98" spans="1:5" x14ac:dyDescent="0.25">
      <c r="A98" t="s">
        <v>222</v>
      </c>
      <c r="B98" s="2">
        <v>0</v>
      </c>
      <c r="C98" s="2">
        <v>0</v>
      </c>
      <c r="D98" s="2">
        <v>50000</v>
      </c>
      <c r="E98" s="2">
        <v>50000</v>
      </c>
    </row>
    <row r="99" spans="1:5" x14ac:dyDescent="0.25">
      <c r="A99" t="s">
        <v>223</v>
      </c>
      <c r="B99" s="2">
        <v>0</v>
      </c>
      <c r="C99" s="2">
        <v>0</v>
      </c>
      <c r="D99" s="2">
        <v>0</v>
      </c>
      <c r="E99" s="2">
        <v>0</v>
      </c>
    </row>
    <row r="100" spans="1:5" x14ac:dyDescent="0.25">
      <c r="A100" s="29"/>
      <c r="B100" s="30"/>
      <c r="C100" s="30"/>
      <c r="D100" s="30"/>
      <c r="E100" s="30"/>
    </row>
    <row r="101" spans="1:5" x14ac:dyDescent="0.25">
      <c r="A101" s="10" t="s">
        <v>120</v>
      </c>
      <c r="B101" s="11">
        <f>SUM(B102:B103)</f>
        <v>0</v>
      </c>
      <c r="C101" s="11">
        <f t="shared" ref="C101:E101" si="3">SUM(C102:C103)</f>
        <v>0</v>
      </c>
      <c r="D101" s="11">
        <f t="shared" si="3"/>
        <v>0</v>
      </c>
      <c r="E101" s="11">
        <f t="shared" si="3"/>
        <v>2600000</v>
      </c>
    </row>
    <row r="102" spans="1:5" x14ac:dyDescent="0.25">
      <c r="A102" t="s">
        <v>309</v>
      </c>
      <c r="B102" s="2">
        <v>0</v>
      </c>
      <c r="C102" s="2">
        <v>0</v>
      </c>
      <c r="D102" s="2">
        <v>0</v>
      </c>
      <c r="E102" s="2">
        <v>2300000</v>
      </c>
    </row>
    <row r="103" spans="1:5" x14ac:dyDescent="0.25">
      <c r="A103" t="s">
        <v>310</v>
      </c>
      <c r="B103" s="2">
        <v>0</v>
      </c>
      <c r="C103" s="2">
        <v>0</v>
      </c>
      <c r="D103" s="2">
        <v>0</v>
      </c>
      <c r="E103" s="2">
        <v>300000</v>
      </c>
    </row>
    <row r="104" spans="1:5" x14ac:dyDescent="0.25">
      <c r="A104" s="29"/>
      <c r="B104" s="30"/>
      <c r="C104" s="30"/>
      <c r="D104" s="30"/>
      <c r="E104" s="30"/>
    </row>
    <row r="105" spans="1:5" x14ac:dyDescent="0.25">
      <c r="A105" s="24" t="s">
        <v>126</v>
      </c>
      <c r="B105" s="25">
        <f t="shared" ref="B105:E106" si="4">B106</f>
        <v>2000</v>
      </c>
      <c r="C105" s="25">
        <f t="shared" si="4"/>
        <v>2000</v>
      </c>
      <c r="D105" s="25">
        <v>2000</v>
      </c>
      <c r="E105" s="25">
        <f t="shared" si="4"/>
        <v>2500</v>
      </c>
    </row>
    <row r="106" spans="1:5" x14ac:dyDescent="0.25">
      <c r="A106" s="10" t="s">
        <v>224</v>
      </c>
      <c r="B106" s="11">
        <f t="shared" si="4"/>
        <v>2000</v>
      </c>
      <c r="C106" s="11">
        <f t="shared" si="4"/>
        <v>2000</v>
      </c>
      <c r="D106" s="11">
        <v>2000</v>
      </c>
      <c r="E106" s="11">
        <f t="shared" si="4"/>
        <v>2500</v>
      </c>
    </row>
    <row r="107" spans="1:5" x14ac:dyDescent="0.25">
      <c r="A107" t="s">
        <v>225</v>
      </c>
      <c r="B107" s="2">
        <v>2000</v>
      </c>
      <c r="C107" s="2">
        <v>2000</v>
      </c>
      <c r="D107" s="2">
        <v>2000</v>
      </c>
      <c r="E107" s="2">
        <v>2500</v>
      </c>
    </row>
    <row r="108" spans="1:5" x14ac:dyDescent="0.25">
      <c r="A108" s="29"/>
      <c r="B108" s="30"/>
      <c r="C108" s="30"/>
      <c r="D108" s="30"/>
      <c r="E108" s="30"/>
    </row>
    <row r="109" spans="1:5" x14ac:dyDescent="0.25">
      <c r="A109" s="24" t="s">
        <v>131</v>
      </c>
      <c r="B109" s="25">
        <v>0</v>
      </c>
      <c r="C109" s="25">
        <v>0</v>
      </c>
      <c r="D109" s="25">
        <v>0</v>
      </c>
      <c r="E109" s="26">
        <v>0</v>
      </c>
    </row>
    <row r="110" spans="1:5" x14ac:dyDescent="0.25">
      <c r="A110" s="29"/>
      <c r="B110" s="30"/>
      <c r="C110" s="30"/>
      <c r="D110" s="30"/>
      <c r="E110" s="30"/>
    </row>
    <row r="111" spans="1:5" x14ac:dyDescent="0.25">
      <c r="A111" s="24" t="s">
        <v>142</v>
      </c>
      <c r="B111" s="25">
        <v>0</v>
      </c>
      <c r="C111" s="25">
        <v>0</v>
      </c>
      <c r="D111" s="25">
        <v>0</v>
      </c>
      <c r="E111" s="26">
        <v>0</v>
      </c>
    </row>
    <row r="112" spans="1:5" x14ac:dyDescent="0.25">
      <c r="A112" s="29"/>
      <c r="B112" s="30"/>
      <c r="C112" s="30"/>
      <c r="D112" s="30"/>
      <c r="E112" s="30"/>
    </row>
    <row r="113" spans="1:5" x14ac:dyDescent="0.25">
      <c r="A113" s="24" t="s">
        <v>154</v>
      </c>
      <c r="B113" s="25">
        <f>SUM(B114,B119,B122)</f>
        <v>49772.08</v>
      </c>
      <c r="C113" s="25">
        <f>SUM(C114,C119,C122)</f>
        <v>59720.44</v>
      </c>
      <c r="D113" s="25">
        <v>65600</v>
      </c>
      <c r="E113" s="25">
        <f>ROUND(SUM(E114,E119,E122),-2)</f>
        <v>65000</v>
      </c>
    </row>
    <row r="114" spans="1:5" x14ac:dyDescent="0.25">
      <c r="A114" s="10" t="s">
        <v>182</v>
      </c>
      <c r="B114" s="11">
        <f>SUM(B115:B117)</f>
        <v>19927.71</v>
      </c>
      <c r="C114" s="11">
        <f>SUM(C115:C117)</f>
        <v>26570.28</v>
      </c>
      <c r="D114" s="11">
        <v>27400</v>
      </c>
      <c r="E114" s="11">
        <f>SUM(E115:E117)</f>
        <v>26800</v>
      </c>
    </row>
    <row r="115" spans="1:5" x14ac:dyDescent="0.25">
      <c r="A115" t="s">
        <v>226</v>
      </c>
      <c r="B115" s="2">
        <v>5880.96</v>
      </c>
      <c r="C115" s="2">
        <v>7841.28</v>
      </c>
      <c r="D115" s="2">
        <v>8600</v>
      </c>
      <c r="E115" s="2">
        <v>8000</v>
      </c>
    </row>
    <row r="116" spans="1:5" x14ac:dyDescent="0.25">
      <c r="A116" t="s">
        <v>227</v>
      </c>
      <c r="B116" s="2">
        <v>14046.75</v>
      </c>
      <c r="C116" s="2">
        <v>18729</v>
      </c>
      <c r="D116" s="2">
        <v>18800</v>
      </c>
      <c r="E116" s="2">
        <v>18800</v>
      </c>
    </row>
    <row r="117" spans="1:5" x14ac:dyDescent="0.25">
      <c r="A117" t="s">
        <v>228</v>
      </c>
      <c r="B117" s="2">
        <v>0</v>
      </c>
      <c r="C117" s="2">
        <v>0</v>
      </c>
      <c r="D117" s="2">
        <v>0</v>
      </c>
      <c r="E117" s="2">
        <v>0</v>
      </c>
    </row>
    <row r="118" spans="1:5" x14ac:dyDescent="0.25">
      <c r="A118" s="29"/>
      <c r="B118" s="30"/>
      <c r="C118" s="30"/>
      <c r="D118" s="30"/>
      <c r="E118" s="30"/>
    </row>
    <row r="119" spans="1:5" x14ac:dyDescent="0.25">
      <c r="A119" s="10" t="s">
        <v>229</v>
      </c>
      <c r="B119" s="11">
        <f>B120</f>
        <v>20035</v>
      </c>
      <c r="C119" s="11">
        <f>C120</f>
        <v>20035</v>
      </c>
      <c r="D119" s="11">
        <v>25000</v>
      </c>
      <c r="E119" s="11">
        <f>E120</f>
        <v>25000</v>
      </c>
    </row>
    <row r="120" spans="1:5" x14ac:dyDescent="0.25">
      <c r="A120" t="s">
        <v>307</v>
      </c>
      <c r="B120" s="2">
        <v>20035</v>
      </c>
      <c r="C120" s="2">
        <f>Table5[[#This Row],[Through 06/30/25]]</f>
        <v>20035</v>
      </c>
      <c r="D120" s="2">
        <v>25000</v>
      </c>
      <c r="E120" s="2">
        <v>25000</v>
      </c>
    </row>
    <row r="121" spans="1:5" x14ac:dyDescent="0.25">
      <c r="A121" s="29"/>
      <c r="B121" s="30"/>
      <c r="C121" s="30"/>
      <c r="D121" s="30"/>
      <c r="E121" s="30"/>
    </row>
    <row r="122" spans="1:5" x14ac:dyDescent="0.25">
      <c r="A122" s="10" t="s">
        <v>230</v>
      </c>
      <c r="B122" s="11">
        <f>SUM(B123:B124)</f>
        <v>9809.3700000000008</v>
      </c>
      <c r="C122" s="11">
        <f>SUM(C123:C124)</f>
        <v>13115.16</v>
      </c>
      <c r="D122" s="11">
        <v>13200</v>
      </c>
      <c r="E122" s="11">
        <f>ROUNDUP(SUM(E123:E124),-2)</f>
        <v>13200</v>
      </c>
    </row>
    <row r="123" spans="1:5" x14ac:dyDescent="0.25">
      <c r="A123" t="s">
        <v>289</v>
      </c>
      <c r="B123" s="2">
        <v>1883.91</v>
      </c>
      <c r="C123" s="2">
        <v>2505.37</v>
      </c>
      <c r="D123" s="2">
        <v>2505.37</v>
      </c>
      <c r="E123" s="2">
        <f>ROUNDUP(2398.79,-2)</f>
        <v>2400</v>
      </c>
    </row>
    <row r="124" spans="1:5" x14ac:dyDescent="0.25">
      <c r="A124" t="s">
        <v>290</v>
      </c>
      <c r="B124" s="2">
        <v>7925.46</v>
      </c>
      <c r="C124" s="2">
        <v>10609.79</v>
      </c>
      <c r="D124" s="2">
        <v>10609.79</v>
      </c>
      <c r="E124" s="2">
        <f>ROUNDUP(10716.37,-2)</f>
        <v>10800</v>
      </c>
    </row>
    <row r="125" spans="1:5" x14ac:dyDescent="0.25">
      <c r="A125" s="29"/>
      <c r="B125" s="30"/>
      <c r="C125" s="30"/>
      <c r="D125" s="30"/>
      <c r="E125" s="30"/>
    </row>
    <row r="126" spans="1:5" x14ac:dyDescent="0.25">
      <c r="A126" s="24" t="s">
        <v>155</v>
      </c>
      <c r="B126" s="25">
        <f>SUM(B127,B130,B133,B136)</f>
        <v>102745.11</v>
      </c>
      <c r="C126" s="25">
        <f>SUM(C127,C130,C133,C136)</f>
        <v>137061.97674000001</v>
      </c>
      <c r="D126" s="25">
        <v>177200</v>
      </c>
      <c r="E126" s="25">
        <f>ROUNDUP(SUM(E127,E130,E133,E136),-2)</f>
        <v>192800</v>
      </c>
    </row>
    <row r="127" spans="1:5" x14ac:dyDescent="0.25">
      <c r="A127" s="10" t="s">
        <v>156</v>
      </c>
      <c r="B127" s="11">
        <f>B128</f>
        <v>71693.8</v>
      </c>
      <c r="C127" s="11">
        <f>C128</f>
        <v>95639.529200000004</v>
      </c>
      <c r="D127" s="11">
        <v>114600</v>
      </c>
      <c r="E127" s="11">
        <f>E128</f>
        <v>126400</v>
      </c>
    </row>
    <row r="128" spans="1:5" x14ac:dyDescent="0.25">
      <c r="A128" t="s">
        <v>231</v>
      </c>
      <c r="B128" s="2">
        <v>71693.8</v>
      </c>
      <c r="C128" s="2">
        <f>Table5[[#This Row],[Through 06/30/25]]*1.334</f>
        <v>95639.529200000004</v>
      </c>
      <c r="D128" s="2">
        <v>114600</v>
      </c>
      <c r="E128" s="2">
        <f>ROUNDUP(WAGES!H88,-2)</f>
        <v>126400</v>
      </c>
    </row>
    <row r="129" spans="1:5" x14ac:dyDescent="0.25">
      <c r="A129" s="29"/>
      <c r="B129" s="30"/>
      <c r="C129" s="30"/>
      <c r="D129" s="30"/>
      <c r="E129" s="30"/>
    </row>
    <row r="130" spans="1:5" x14ac:dyDescent="0.25">
      <c r="A130" s="10" t="s">
        <v>161</v>
      </c>
      <c r="B130" s="11">
        <f>B131</f>
        <v>5484.57</v>
      </c>
      <c r="C130" s="11">
        <f>C131</f>
        <v>7316.4163799999997</v>
      </c>
      <c r="D130" s="11">
        <v>9300</v>
      </c>
      <c r="E130" s="11">
        <f>ROUNDUP(E131,-2)</f>
        <v>10200</v>
      </c>
    </row>
    <row r="131" spans="1:5" x14ac:dyDescent="0.25">
      <c r="A131" t="s">
        <v>232</v>
      </c>
      <c r="B131" s="2">
        <v>5484.57</v>
      </c>
      <c r="C131" s="2">
        <f>Table5[[#This Row],[Through 06/30/25]]*1.334</f>
        <v>7316.4163799999997</v>
      </c>
      <c r="D131" s="2">
        <v>9300</v>
      </c>
      <c r="E131" s="2">
        <f>ROUNDUP(WAGES!H90,-2)</f>
        <v>10200</v>
      </c>
    </row>
    <row r="132" spans="1:5" x14ac:dyDescent="0.25">
      <c r="A132" s="29"/>
      <c r="B132" s="30"/>
      <c r="C132" s="30"/>
      <c r="D132" s="30"/>
      <c r="E132" s="30"/>
    </row>
    <row r="133" spans="1:5" x14ac:dyDescent="0.25">
      <c r="A133" s="10" t="s">
        <v>163</v>
      </c>
      <c r="B133" s="11">
        <f>B134</f>
        <v>8565.52</v>
      </c>
      <c r="C133" s="11">
        <f>C134</f>
        <v>11426.403680000001</v>
      </c>
      <c r="D133" s="11">
        <v>14600</v>
      </c>
      <c r="E133" s="11">
        <f>ROUNDUP(E134,-2)</f>
        <v>17800</v>
      </c>
    </row>
    <row r="134" spans="1:5" x14ac:dyDescent="0.25">
      <c r="A134" t="s">
        <v>233</v>
      </c>
      <c r="B134" s="2">
        <v>8565.52</v>
      </c>
      <c r="C134" s="2">
        <f>Table5[[#This Row],[Through 06/30/25]]*1.334</f>
        <v>11426.403680000001</v>
      </c>
      <c r="D134" s="2">
        <v>14600</v>
      </c>
      <c r="E134" s="2">
        <f>ROUNDUP(WAGES!H89,-2)</f>
        <v>17800</v>
      </c>
    </row>
    <row r="135" spans="1:5" x14ac:dyDescent="0.25">
      <c r="A135" s="29"/>
      <c r="B135" s="30"/>
      <c r="C135" s="30"/>
      <c r="D135" s="30"/>
      <c r="E135" s="30"/>
    </row>
    <row r="136" spans="1:5" x14ac:dyDescent="0.25">
      <c r="A136" s="10" t="s">
        <v>165</v>
      </c>
      <c r="B136" s="11">
        <f>SUM(B137:B138)</f>
        <v>17001.22</v>
      </c>
      <c r="C136" s="11">
        <f>SUM(C137:C138)</f>
        <v>22679.627480000003</v>
      </c>
      <c r="D136" s="11">
        <v>38700</v>
      </c>
      <c r="E136" s="11">
        <f>ROUNDUP(SUM(E137:E138),-2)</f>
        <v>38400</v>
      </c>
    </row>
    <row r="137" spans="1:5" x14ac:dyDescent="0.25">
      <c r="A137" t="s">
        <v>234</v>
      </c>
      <c r="B137" s="2">
        <v>16278.49</v>
      </c>
      <c r="C137" s="2">
        <f>Table5[[#This Row],[Through 06/30/25]]*1.334</f>
        <v>21715.505660000003</v>
      </c>
      <c r="D137" s="2">
        <v>37500</v>
      </c>
      <c r="E137" s="2">
        <f>ROUNDUP(WAGES!H91,-2)</f>
        <v>37400</v>
      </c>
    </row>
    <row r="138" spans="1:5" x14ac:dyDescent="0.25">
      <c r="A138" t="s">
        <v>235</v>
      </c>
      <c r="B138" s="2">
        <v>722.73</v>
      </c>
      <c r="C138" s="2">
        <f>Table5[[#This Row],[Through 06/30/25]]*1.334</f>
        <v>964.12182000000007</v>
      </c>
      <c r="D138" s="2">
        <v>1200</v>
      </c>
      <c r="E138" s="2">
        <f>ROUNDUP(WAGES!H92,-2)</f>
        <v>1000</v>
      </c>
    </row>
    <row r="139" spans="1:5" x14ac:dyDescent="0.25">
      <c r="A139" s="29"/>
      <c r="B139" s="30"/>
      <c r="C139" s="30"/>
      <c r="D139" s="30"/>
      <c r="E139" s="30"/>
    </row>
    <row r="140" spans="1:5" x14ac:dyDescent="0.25">
      <c r="A140" s="24" t="s">
        <v>168</v>
      </c>
      <c r="B140" s="25">
        <f>SUM(B141,B144)</f>
        <v>15707.49</v>
      </c>
      <c r="C140" s="25">
        <f>SUM(C141,C144)</f>
        <v>20953.791660000003</v>
      </c>
      <c r="D140" s="25">
        <v>30000</v>
      </c>
      <c r="E140" s="25">
        <f>SUM(E141,E144)</f>
        <v>35000</v>
      </c>
    </row>
    <row r="141" spans="1:5" x14ac:dyDescent="0.25">
      <c r="A141" s="10" t="s">
        <v>236</v>
      </c>
      <c r="B141" s="11">
        <f>B142</f>
        <v>2894.49</v>
      </c>
      <c r="C141" s="11">
        <f>C142</f>
        <v>3861.2496599999999</v>
      </c>
      <c r="D141" s="11">
        <v>5000</v>
      </c>
      <c r="E141" s="11">
        <f>E142</f>
        <v>5000</v>
      </c>
    </row>
    <row r="142" spans="1:5" x14ac:dyDescent="0.25">
      <c r="A142" t="s">
        <v>237</v>
      </c>
      <c r="B142" s="2">
        <v>2894.49</v>
      </c>
      <c r="C142" s="2">
        <f>Table5[[#This Row],[Through 06/30/25]]*1.334</f>
        <v>3861.2496599999999</v>
      </c>
      <c r="D142" s="2">
        <v>5000</v>
      </c>
      <c r="E142" s="2">
        <v>5000</v>
      </c>
    </row>
    <row r="143" spans="1:5" x14ac:dyDescent="0.25">
      <c r="A143" s="29"/>
      <c r="B143" s="30"/>
      <c r="C143" s="30"/>
      <c r="D143" s="30"/>
      <c r="E143" s="30"/>
    </row>
    <row r="144" spans="1:5" x14ac:dyDescent="0.25">
      <c r="A144" s="10" t="s">
        <v>169</v>
      </c>
      <c r="B144" s="11">
        <f>B145</f>
        <v>12813</v>
      </c>
      <c r="C144" s="11">
        <f>C145</f>
        <v>17092.542000000001</v>
      </c>
      <c r="D144" s="11">
        <v>25000</v>
      </c>
      <c r="E144" s="11">
        <f>E145</f>
        <v>30000</v>
      </c>
    </row>
    <row r="145" spans="1:5" x14ac:dyDescent="0.25">
      <c r="A145" t="s">
        <v>238</v>
      </c>
      <c r="B145" s="2">
        <v>12813</v>
      </c>
      <c r="C145" s="2">
        <f>Table5[[#This Row],[Through 06/30/25]]*1.334</f>
        <v>17092.542000000001</v>
      </c>
      <c r="D145" s="2">
        <v>25000</v>
      </c>
      <c r="E145" s="2">
        <v>30000</v>
      </c>
    </row>
    <row r="146" spans="1:5" x14ac:dyDescent="0.25">
      <c r="A146" s="29"/>
      <c r="B146" s="30"/>
      <c r="C146" s="30"/>
      <c r="D146" s="30"/>
      <c r="E146" s="30"/>
    </row>
    <row r="147" spans="1:5" x14ac:dyDescent="0.25">
      <c r="A147" s="27" t="s">
        <v>171</v>
      </c>
      <c r="B147" s="28">
        <f>SUM(B58,B105,B109,B111,B113,B126,B140)</f>
        <v>295834.40999999997</v>
      </c>
      <c r="C147" s="28">
        <f>SUM(C58,C105,C109,C111,C113,C126,C140)</f>
        <v>390992.30527999997</v>
      </c>
      <c r="D147" s="28">
        <f>SUM(D58,D105,D109,D111,D113,D126,D140)</f>
        <v>704550</v>
      </c>
      <c r="E147" s="28">
        <f>SUM(E58,E105,E109,E111,E113,E126,E140)</f>
        <v>3296950</v>
      </c>
    </row>
  </sheetData>
  <mergeCells count="2">
    <mergeCell ref="A56:E56"/>
    <mergeCell ref="A1:E1"/>
  </mergeCells>
  <pageMargins left="0.7" right="0.7" top="0.75" bottom="0.75" header="0.3" footer="0.3"/>
  <pageSetup scale="90" fitToHeight="0" orientation="portrait"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131D-3136-486A-8F01-3C829B9EE036}">
  <sheetPr>
    <pageSetUpPr fitToPage="1"/>
  </sheetPr>
  <dimension ref="A1:P94"/>
  <sheetViews>
    <sheetView zoomScale="190" zoomScaleNormal="190" workbookViewId="0">
      <selection activeCell="D3" sqref="D3"/>
    </sheetView>
  </sheetViews>
  <sheetFormatPr defaultRowHeight="15" x14ac:dyDescent="0.25"/>
  <cols>
    <col min="1" max="1" width="18.7109375" bestFit="1" customWidth="1"/>
    <col min="2" max="2" width="10.42578125" style="2" bestFit="1" customWidth="1"/>
    <col min="3" max="3" width="12.7109375" style="2" bestFit="1" customWidth="1"/>
    <col min="4" max="4" width="11.5703125" style="2" bestFit="1" customWidth="1"/>
    <col min="5" max="5" width="13.42578125" style="3" bestFit="1" customWidth="1"/>
    <col min="6" max="6" width="10.42578125" bestFit="1" customWidth="1"/>
    <col min="7" max="7" width="12.7109375" bestFit="1" customWidth="1"/>
    <col min="8" max="8" width="11.5703125" bestFit="1" customWidth="1"/>
    <col min="9" max="9" width="11.28515625" bestFit="1" customWidth="1"/>
    <col min="10" max="10" width="19.28515625" customWidth="1"/>
    <col min="11" max="16" width="8.85546875" style="2" customWidth="1"/>
  </cols>
  <sheetData>
    <row r="1" spans="1:16" x14ac:dyDescent="0.25">
      <c r="A1" s="83" t="s">
        <v>239</v>
      </c>
      <c r="B1" s="83"/>
      <c r="C1" s="83"/>
      <c r="D1" s="83"/>
      <c r="E1" s="83"/>
      <c r="F1" s="83"/>
      <c r="G1" s="83"/>
      <c r="H1" s="83"/>
    </row>
    <row r="2" spans="1:16" x14ac:dyDescent="0.25">
      <c r="A2" s="84" t="s">
        <v>240</v>
      </c>
      <c r="B2" s="84"/>
      <c r="C2" s="84"/>
      <c r="D2" s="35">
        <v>0.06</v>
      </c>
      <c r="E2" s="36"/>
      <c r="F2" s="37"/>
      <c r="G2" s="37"/>
      <c r="H2" s="37"/>
      <c r="I2" s="2">
        <f>F88</f>
        <v>371274.2856</v>
      </c>
      <c r="J2" t="s">
        <v>241</v>
      </c>
    </row>
    <row r="3" spans="1:16" x14ac:dyDescent="0.25">
      <c r="B3" s="4" t="s">
        <v>287</v>
      </c>
      <c r="C3" s="4" t="s">
        <v>63</v>
      </c>
      <c r="D3" s="4" t="s">
        <v>181</v>
      </c>
      <c r="E3" s="5"/>
      <c r="F3" s="4" t="s">
        <v>299</v>
      </c>
      <c r="G3" s="4" t="s">
        <v>63</v>
      </c>
      <c r="H3" s="4" t="s">
        <v>181</v>
      </c>
      <c r="I3" s="2">
        <f>F94</f>
        <v>587132.29773535999</v>
      </c>
      <c r="K3" s="2" t="s">
        <v>242</v>
      </c>
      <c r="L3" s="2" t="s">
        <v>243</v>
      </c>
      <c r="M3" s="2" t="s">
        <v>89</v>
      </c>
      <c r="N3" s="2" t="s">
        <v>244</v>
      </c>
      <c r="O3" s="2" t="s">
        <v>245</v>
      </c>
      <c r="P3" s="2" t="s">
        <v>246</v>
      </c>
    </row>
    <row r="4" spans="1:16" x14ac:dyDescent="0.25">
      <c r="A4" s="31" t="s">
        <v>247</v>
      </c>
      <c r="B4" s="32" t="s">
        <v>248</v>
      </c>
      <c r="C4" s="34">
        <v>0.8</v>
      </c>
      <c r="D4" s="34">
        <v>0.2</v>
      </c>
      <c r="E4" s="33" t="s">
        <v>249</v>
      </c>
      <c r="F4" s="32" t="s">
        <v>248</v>
      </c>
      <c r="G4" s="34">
        <v>0.8</v>
      </c>
      <c r="H4" s="34">
        <v>0.2</v>
      </c>
      <c r="J4" t="s">
        <v>304</v>
      </c>
      <c r="K4" s="2">
        <v>1112.0899999999999</v>
      </c>
      <c r="L4" s="2">
        <v>666.34</v>
      </c>
      <c r="M4" s="2">
        <v>2012.29</v>
      </c>
      <c r="N4" s="2">
        <v>1094.83</v>
      </c>
      <c r="O4" s="2">
        <v>2766.4</v>
      </c>
      <c r="P4" s="2">
        <v>503.11</v>
      </c>
    </row>
    <row r="5" spans="1:16" x14ac:dyDescent="0.25">
      <c r="A5" s="39" t="s">
        <v>250</v>
      </c>
      <c r="B5" s="40">
        <f>E5</f>
        <v>62381</v>
      </c>
      <c r="C5" s="40">
        <f>B5*C4</f>
        <v>49904.800000000003</v>
      </c>
      <c r="D5" s="40">
        <f>B5*D4</f>
        <v>12476.2</v>
      </c>
      <c r="E5" s="41">
        <v>62381</v>
      </c>
      <c r="F5" s="40">
        <f>E6</f>
        <v>66123.86</v>
      </c>
      <c r="G5" s="40">
        <f>F5*G4</f>
        <v>52899.088000000003</v>
      </c>
      <c r="H5" s="40">
        <f>F5*H4</f>
        <v>13224.772000000001</v>
      </c>
      <c r="J5" s="6" t="s">
        <v>305</v>
      </c>
      <c r="K5" s="2">
        <f t="shared" ref="K5:P5" si="0">K4*1.1</f>
        <v>1223.299</v>
      </c>
      <c r="L5" s="2">
        <f t="shared" si="0"/>
        <v>732.97400000000005</v>
      </c>
      <c r="M5" s="2">
        <f t="shared" si="0"/>
        <v>2213.5190000000002</v>
      </c>
      <c r="N5" s="2">
        <f t="shared" si="0"/>
        <v>1204.3130000000001</v>
      </c>
      <c r="O5" s="2">
        <f t="shared" si="0"/>
        <v>3043.0400000000004</v>
      </c>
      <c r="P5" s="2">
        <f t="shared" si="0"/>
        <v>553.42100000000005</v>
      </c>
    </row>
    <row r="6" spans="1:16" x14ac:dyDescent="0.25">
      <c r="A6" s="39" t="s">
        <v>251</v>
      </c>
      <c r="B6" s="40">
        <v>0</v>
      </c>
      <c r="C6" s="40">
        <f>B6*C5</f>
        <v>0</v>
      </c>
      <c r="D6" s="40">
        <f>B6*D5</f>
        <v>0</v>
      </c>
      <c r="E6" s="44">
        <f>(E5*Pay_Increase)+E5</f>
        <v>66123.86</v>
      </c>
      <c r="F6" s="40">
        <v>0</v>
      </c>
      <c r="G6" s="40">
        <f>F6*G5</f>
        <v>0</v>
      </c>
      <c r="H6" s="40">
        <f>F6*H5</f>
        <v>0</v>
      </c>
      <c r="J6" t="s">
        <v>252</v>
      </c>
      <c r="K6" s="2">
        <f t="shared" ref="K6:P6" si="1">(K4*3)+(K5*9)</f>
        <v>14345.960999999999</v>
      </c>
      <c r="L6" s="2">
        <f t="shared" si="1"/>
        <v>8595.7860000000001</v>
      </c>
      <c r="M6" s="2">
        <f t="shared" si="1"/>
        <v>25958.541000000001</v>
      </c>
      <c r="N6" s="2">
        <f t="shared" si="1"/>
        <v>14123.307000000001</v>
      </c>
      <c r="O6" s="2">
        <f t="shared" si="1"/>
        <v>35686.560000000005</v>
      </c>
      <c r="P6" s="2">
        <f t="shared" si="1"/>
        <v>6490.1190000000006</v>
      </c>
    </row>
    <row r="7" spans="1:16" x14ac:dyDescent="0.25">
      <c r="A7" s="39" t="s">
        <v>253</v>
      </c>
      <c r="B7" s="40">
        <f>B5*FRS</f>
        <v>8752.0542999999998</v>
      </c>
      <c r="C7" s="40">
        <f>B7*C4</f>
        <v>7001.6434399999998</v>
      </c>
      <c r="D7" s="40">
        <f>B7*D4</f>
        <v>1750.41086</v>
      </c>
      <c r="E7" s="44"/>
      <c r="F7" s="43">
        <f>F5*FRS</f>
        <v>9277.1775580000012</v>
      </c>
      <c r="G7" s="40">
        <f>F7*G4</f>
        <v>7421.7420464000015</v>
      </c>
      <c r="H7" s="40">
        <f>F7*H4</f>
        <v>1855.4355116000004</v>
      </c>
      <c r="J7" t="s">
        <v>254</v>
      </c>
      <c r="K7" s="2">
        <f t="shared" ref="K7:P7" si="2">K6+46.5</f>
        <v>14392.460999999999</v>
      </c>
      <c r="L7" s="2">
        <f t="shared" si="2"/>
        <v>8642.2860000000001</v>
      </c>
      <c r="M7" s="2">
        <f t="shared" si="2"/>
        <v>26005.041000000001</v>
      </c>
      <c r="N7" s="2">
        <f t="shared" si="2"/>
        <v>14169.807000000001</v>
      </c>
      <c r="O7" s="2">
        <f t="shared" si="2"/>
        <v>35733.060000000005</v>
      </c>
      <c r="P7" s="2">
        <f t="shared" si="2"/>
        <v>6536.6190000000006</v>
      </c>
    </row>
    <row r="8" spans="1:16" x14ac:dyDescent="0.25">
      <c r="A8" s="39" t="s">
        <v>161</v>
      </c>
      <c r="B8" s="40">
        <f>B5*FICA</f>
        <v>4772.1464999999998</v>
      </c>
      <c r="C8" s="40">
        <f>B8*C4</f>
        <v>3817.7172</v>
      </c>
      <c r="D8" s="42">
        <f>B8*D4</f>
        <v>954.42930000000001</v>
      </c>
      <c r="E8" s="45"/>
      <c r="F8" s="43">
        <f>F5*FICA</f>
        <v>5058.4752900000003</v>
      </c>
      <c r="G8" s="40">
        <f>F8*G4</f>
        <v>4046.7802320000005</v>
      </c>
      <c r="H8" s="40">
        <f>F8*H4</f>
        <v>1011.6950580000001</v>
      </c>
      <c r="J8" t="s">
        <v>255</v>
      </c>
      <c r="K8" s="2">
        <v>372.84</v>
      </c>
      <c r="L8" s="2">
        <v>869.44</v>
      </c>
      <c r="M8" s="2">
        <v>498.68</v>
      </c>
      <c r="N8" s="2">
        <v>397.28</v>
      </c>
      <c r="O8" s="2">
        <v>498.16</v>
      </c>
      <c r="P8" s="2">
        <v>248.56</v>
      </c>
    </row>
    <row r="9" spans="1:16" x14ac:dyDescent="0.25">
      <c r="A9" s="39" t="s">
        <v>256</v>
      </c>
      <c r="B9" s="40">
        <f>K7</f>
        <v>14392.460999999999</v>
      </c>
      <c r="C9" s="40">
        <f>B9*C4</f>
        <v>11513.968800000001</v>
      </c>
      <c r="D9" s="42">
        <f>B9*D4</f>
        <v>2878.4922000000001</v>
      </c>
      <c r="E9" s="45"/>
      <c r="F9" s="43">
        <f>B9</f>
        <v>14392.460999999999</v>
      </c>
      <c r="G9" s="40">
        <f>F9*G4</f>
        <v>11513.968800000001</v>
      </c>
      <c r="H9" s="40">
        <f>F9*H4</f>
        <v>2878.4922000000001</v>
      </c>
    </row>
    <row r="10" spans="1:16" x14ac:dyDescent="0.25">
      <c r="A10" s="39" t="s">
        <v>257</v>
      </c>
      <c r="B10" s="40">
        <f>K8</f>
        <v>372.84</v>
      </c>
      <c r="C10" s="40">
        <f>B10*C4</f>
        <v>298.27199999999999</v>
      </c>
      <c r="D10" s="40">
        <f>B10*D4</f>
        <v>74.567999999999998</v>
      </c>
      <c r="E10" s="45"/>
      <c r="F10" s="43">
        <f>B10</f>
        <v>372.84</v>
      </c>
      <c r="G10" s="40">
        <f>F10*G4</f>
        <v>298.27199999999999</v>
      </c>
      <c r="H10" s="40">
        <f>F10*H4</f>
        <v>74.567999999999998</v>
      </c>
    </row>
    <row r="11" spans="1:16" x14ac:dyDescent="0.25">
      <c r="A11" s="39" t="s">
        <v>258</v>
      </c>
      <c r="B11" s="40"/>
      <c r="C11" s="40"/>
      <c r="D11" s="42"/>
      <c r="E11" s="45"/>
      <c r="F11" s="43"/>
      <c r="G11" s="40">
        <f>F11*G4</f>
        <v>0</v>
      </c>
      <c r="H11" s="40">
        <f>F11*H4</f>
        <v>0</v>
      </c>
    </row>
    <row r="12" spans="1:16" x14ac:dyDescent="0.25">
      <c r="A12" s="46" t="s">
        <v>259</v>
      </c>
      <c r="B12" s="47">
        <f>SUM(B5:B11)</f>
        <v>90670.501799999998</v>
      </c>
      <c r="C12" s="47">
        <f>SUM(C5:C11)</f>
        <v>72536.401440000001</v>
      </c>
      <c r="D12" s="47">
        <f>SUM(D5:D11)</f>
        <v>18134.10036</v>
      </c>
      <c r="E12" s="48"/>
      <c r="F12" s="47">
        <f>SUM(F5:F11)</f>
        <v>95224.813847999991</v>
      </c>
      <c r="G12" s="47">
        <f>SUM(G5:G11)</f>
        <v>76179.851078399995</v>
      </c>
      <c r="H12" s="47">
        <f>SUM(H5:H11)</f>
        <v>19044.962769599999</v>
      </c>
    </row>
    <row r="13" spans="1:16" x14ac:dyDescent="0.25">
      <c r="A13" s="49" t="s">
        <v>260</v>
      </c>
      <c r="B13" s="50"/>
      <c r="C13" s="50"/>
      <c r="D13" s="51"/>
      <c r="E13" s="52"/>
      <c r="F13" s="77">
        <f>F12/2080</f>
        <v>45.781160503846152</v>
      </c>
      <c r="G13" s="50"/>
      <c r="H13" s="50"/>
    </row>
    <row r="14" spans="1:16" x14ac:dyDescent="0.25">
      <c r="F14" s="2"/>
      <c r="G14" s="2"/>
      <c r="H14" s="2"/>
    </row>
    <row r="15" spans="1:16" x14ac:dyDescent="0.25">
      <c r="A15" s="31" t="s">
        <v>261</v>
      </c>
      <c r="B15" s="32" t="s">
        <v>248</v>
      </c>
      <c r="C15" s="34">
        <v>0.8</v>
      </c>
      <c r="D15" s="34">
        <v>0.2</v>
      </c>
      <c r="E15" s="33" t="s">
        <v>249</v>
      </c>
      <c r="F15" s="32" t="s">
        <v>248</v>
      </c>
      <c r="G15" s="34">
        <v>0.8</v>
      </c>
      <c r="H15" s="34">
        <v>0.2</v>
      </c>
    </row>
    <row r="16" spans="1:16" x14ac:dyDescent="0.25">
      <c r="A16" s="39" t="s">
        <v>250</v>
      </c>
      <c r="B16" s="40">
        <f>E16*2080</f>
        <v>74193.600000000006</v>
      </c>
      <c r="C16" s="40">
        <f>B16*C15</f>
        <v>59354.880000000005</v>
      </c>
      <c r="D16" s="40">
        <f>B16*D15</f>
        <v>14838.720000000001</v>
      </c>
      <c r="E16" s="41">
        <v>35.67</v>
      </c>
      <c r="F16" s="40">
        <f>E17*2080</f>
        <v>78645.216</v>
      </c>
      <c r="G16" s="40">
        <f>F16*G15</f>
        <v>62916.1728</v>
      </c>
      <c r="H16" s="40">
        <f>F16*H15</f>
        <v>15729.0432</v>
      </c>
    </row>
    <row r="17" spans="1:8" x14ac:dyDescent="0.25">
      <c r="A17" s="39" t="s">
        <v>251</v>
      </c>
      <c r="B17" s="40">
        <f>(E16*1.5)*(2080*0.1)</f>
        <v>11129.04</v>
      </c>
      <c r="C17" s="40">
        <f>B17*C15</f>
        <v>8903.2320000000018</v>
      </c>
      <c r="D17" s="40">
        <f>B17*D15</f>
        <v>2225.8080000000004</v>
      </c>
      <c r="E17" s="44">
        <f>E16+(E16*Pay_Increase)</f>
        <v>37.810200000000002</v>
      </c>
      <c r="F17" s="40">
        <f>(E17*1.5)*(2080*0.1)</f>
        <v>11796.7824</v>
      </c>
      <c r="G17" s="40">
        <f>F17*G15</f>
        <v>9437.4259199999997</v>
      </c>
      <c r="H17" s="40">
        <f>F17*H15</f>
        <v>2359.3564799999999</v>
      </c>
    </row>
    <row r="18" spans="1:8" x14ac:dyDescent="0.25">
      <c r="A18" s="39" t="s">
        <v>253</v>
      </c>
      <c r="B18" s="40">
        <f>(B16+B17)*FRS</f>
        <v>11970.766392000003</v>
      </c>
      <c r="C18" s="40">
        <f>B18*C15</f>
        <v>9576.6131136000022</v>
      </c>
      <c r="D18" s="40">
        <f>B18*D15</f>
        <v>2394.1532784000005</v>
      </c>
      <c r="E18" s="44"/>
      <c r="F18" s="40">
        <f>(F16+F17)*FRS</f>
        <v>12689.01237552</v>
      </c>
      <c r="G18" s="40">
        <f>F18*G15</f>
        <v>10151.209900416001</v>
      </c>
      <c r="H18" s="40">
        <f>F18*H15</f>
        <v>2537.8024751040002</v>
      </c>
    </row>
    <row r="19" spans="1:8" x14ac:dyDescent="0.25">
      <c r="A19" s="39" t="s">
        <v>161</v>
      </c>
      <c r="B19" s="40">
        <f>(B16+B17)*FICA</f>
        <v>6527.1819600000008</v>
      </c>
      <c r="C19" s="40">
        <f>B19*C15</f>
        <v>5221.7455680000012</v>
      </c>
      <c r="D19" s="42">
        <f>B19*D15</f>
        <v>1305.4363920000003</v>
      </c>
      <c r="E19" s="45"/>
      <c r="F19" s="40">
        <f>(F16+F17)*FICA</f>
        <v>6918.8128775999994</v>
      </c>
      <c r="G19" s="40">
        <f>F19*G15</f>
        <v>5535.0503020799997</v>
      </c>
      <c r="H19" s="40">
        <f>F19*H15</f>
        <v>1383.7625755199999</v>
      </c>
    </row>
    <row r="20" spans="1:8" x14ac:dyDescent="0.25">
      <c r="A20" s="39" t="s">
        <v>256</v>
      </c>
      <c r="B20" s="40">
        <f>L7</f>
        <v>8642.2860000000001</v>
      </c>
      <c r="C20" s="40">
        <f>B20*C15</f>
        <v>6913.8288000000002</v>
      </c>
      <c r="D20" s="42">
        <f>B20*D15</f>
        <v>1728.4572000000001</v>
      </c>
      <c r="E20" s="45"/>
      <c r="F20" s="40">
        <f>B20</f>
        <v>8642.2860000000001</v>
      </c>
      <c r="G20" s="40">
        <f>F20*G15</f>
        <v>6913.8288000000002</v>
      </c>
      <c r="H20" s="40">
        <f>F20*H15</f>
        <v>1728.4572000000001</v>
      </c>
    </row>
    <row r="21" spans="1:8" x14ac:dyDescent="0.25">
      <c r="A21" s="39" t="s">
        <v>257</v>
      </c>
      <c r="B21" s="40">
        <f>L8</f>
        <v>869.44</v>
      </c>
      <c r="C21" s="40">
        <f>B21*C15</f>
        <v>695.55200000000013</v>
      </c>
      <c r="D21" s="40">
        <f>B21*D15</f>
        <v>173.88800000000003</v>
      </c>
      <c r="E21" s="45"/>
      <c r="F21" s="40">
        <f>B21</f>
        <v>869.44</v>
      </c>
      <c r="G21" s="40">
        <f>F21*G15</f>
        <v>695.55200000000013</v>
      </c>
      <c r="H21" s="40">
        <f>F21*H15</f>
        <v>173.88800000000003</v>
      </c>
    </row>
    <row r="22" spans="1:8" x14ac:dyDescent="0.25">
      <c r="A22" s="39" t="s">
        <v>258</v>
      </c>
      <c r="B22" s="40"/>
      <c r="C22" s="40"/>
      <c r="D22" s="42"/>
      <c r="E22" s="45"/>
      <c r="F22" s="40"/>
      <c r="G22" s="40">
        <f>F22*G15</f>
        <v>0</v>
      </c>
      <c r="H22" s="40">
        <f>F22*H15</f>
        <v>0</v>
      </c>
    </row>
    <row r="23" spans="1:8" x14ac:dyDescent="0.25">
      <c r="A23" s="46" t="s">
        <v>259</v>
      </c>
      <c r="B23" s="47">
        <f>SUM(B16:B22)</f>
        <v>113332.31435200002</v>
      </c>
      <c r="C23" s="47">
        <f>SUM(C16:C22)</f>
        <v>90665.85148160001</v>
      </c>
      <c r="D23" s="47">
        <f>SUM(D16:D22)</f>
        <v>22666.462870400002</v>
      </c>
      <c r="E23" s="48"/>
      <c r="F23" s="47">
        <f>SUM(F16:F22)</f>
        <v>119561.54965311999</v>
      </c>
      <c r="G23" s="47">
        <f>SUM(G16:G22)</f>
        <v>95649.239722495986</v>
      </c>
      <c r="H23" s="47">
        <f>SUM(H16:H22)</f>
        <v>23912.309930623996</v>
      </c>
    </row>
    <row r="24" spans="1:8" x14ac:dyDescent="0.25">
      <c r="A24" s="49" t="s">
        <v>260</v>
      </c>
      <c r="B24" s="50"/>
      <c r="C24" s="50"/>
      <c r="D24" s="51"/>
      <c r="E24" s="52"/>
      <c r="F24" s="77">
        <f>F23/2080</f>
        <v>57.48151425630769</v>
      </c>
      <c r="G24" s="50"/>
      <c r="H24" s="50"/>
    </row>
    <row r="25" spans="1:8" x14ac:dyDescent="0.25">
      <c r="F25" s="2"/>
      <c r="G25" s="2"/>
      <c r="H25" s="2"/>
    </row>
    <row r="26" spans="1:8" x14ac:dyDescent="0.25">
      <c r="A26" s="31" t="s">
        <v>262</v>
      </c>
      <c r="B26" s="32" t="s">
        <v>248</v>
      </c>
      <c r="C26" s="34">
        <v>0.25</v>
      </c>
      <c r="D26" s="34">
        <v>0.75</v>
      </c>
      <c r="E26" s="33" t="s">
        <v>249</v>
      </c>
      <c r="F26" s="32" t="s">
        <v>248</v>
      </c>
      <c r="G26" s="34">
        <v>0.25</v>
      </c>
      <c r="H26" s="34">
        <v>0.75</v>
      </c>
    </row>
    <row r="27" spans="1:8" x14ac:dyDescent="0.25">
      <c r="A27" s="39" t="s">
        <v>250</v>
      </c>
      <c r="B27" s="40">
        <f>E27*2080</f>
        <v>47403.199999999997</v>
      </c>
      <c r="C27" s="40">
        <f>B27*C26</f>
        <v>11850.8</v>
      </c>
      <c r="D27" s="40">
        <f>B27*D26</f>
        <v>35552.399999999994</v>
      </c>
      <c r="E27" s="41">
        <v>22.79</v>
      </c>
      <c r="F27" s="40">
        <f>E28*2080</f>
        <v>50247.392</v>
      </c>
      <c r="G27" s="40">
        <f>F27*G26</f>
        <v>12561.848</v>
      </c>
      <c r="H27" s="40">
        <f>F27*H26</f>
        <v>37685.544000000002</v>
      </c>
    </row>
    <row r="28" spans="1:8" x14ac:dyDescent="0.25">
      <c r="A28" s="39" t="s">
        <v>251</v>
      </c>
      <c r="B28" s="40">
        <f>(E27*1.5)*(2080*0.1)</f>
        <v>7110.4800000000005</v>
      </c>
      <c r="C28" s="40">
        <f>B28*C26</f>
        <v>1777.6200000000001</v>
      </c>
      <c r="D28" s="40">
        <f>B28*D26</f>
        <v>5332.8600000000006</v>
      </c>
      <c r="E28" s="44">
        <f>E27+(E27*Pay_Increase)</f>
        <v>24.157399999999999</v>
      </c>
      <c r="F28" s="40">
        <f>(E28*1.5)*(2080*0.1)</f>
        <v>7537.1088</v>
      </c>
      <c r="G28" s="40">
        <f>F28*G26</f>
        <v>1884.2772</v>
      </c>
      <c r="H28" s="40">
        <f>F28*H26</f>
        <v>5652.8315999999995</v>
      </c>
    </row>
    <row r="29" spans="1:8" x14ac:dyDescent="0.25">
      <c r="A29" s="39" t="s">
        <v>253</v>
      </c>
      <c r="B29" s="40">
        <f>(B27+B28)*FRS</f>
        <v>7648.2693040000004</v>
      </c>
      <c r="C29" s="40">
        <f>B29*C26</f>
        <v>1912.0673260000001</v>
      </c>
      <c r="D29" s="40">
        <f>B29*D26</f>
        <v>5736.2019780000001</v>
      </c>
      <c r="E29" s="44"/>
      <c r="F29" s="40">
        <f>(F27+F28)*FRS</f>
        <v>8107.165462240001</v>
      </c>
      <c r="G29" s="40">
        <f>F29*G26</f>
        <v>2026.7913655600003</v>
      </c>
      <c r="H29" s="40">
        <f>F29*H26</f>
        <v>6080.3740966800005</v>
      </c>
    </row>
    <row r="30" spans="1:8" x14ac:dyDescent="0.25">
      <c r="A30" s="39" t="s">
        <v>161</v>
      </c>
      <c r="B30" s="40">
        <f>(B27+B28)*FICA</f>
        <v>4170.2965199999999</v>
      </c>
      <c r="C30" s="40">
        <f>B30*C26</f>
        <v>1042.57413</v>
      </c>
      <c r="D30" s="42">
        <f>B30*D26</f>
        <v>3127.7223899999999</v>
      </c>
      <c r="E30" s="45"/>
      <c r="F30" s="40">
        <f>(F27+F28)*FICA</f>
        <v>4420.5143111999996</v>
      </c>
      <c r="G30" s="40">
        <f>F30*G26</f>
        <v>1105.1285777999999</v>
      </c>
      <c r="H30" s="40">
        <f>F30*H26</f>
        <v>3315.3857333999995</v>
      </c>
    </row>
    <row r="31" spans="1:8" x14ac:dyDescent="0.25">
      <c r="A31" s="39" t="s">
        <v>256</v>
      </c>
      <c r="B31" s="40">
        <f>M7</f>
        <v>26005.041000000001</v>
      </c>
      <c r="C31" s="40">
        <f>B31*C26</f>
        <v>6501.2602500000003</v>
      </c>
      <c r="D31" s="42">
        <f>B31*D26</f>
        <v>19503.780750000002</v>
      </c>
      <c r="E31" s="45"/>
      <c r="F31" s="40">
        <f>B31</f>
        <v>26005.041000000001</v>
      </c>
      <c r="G31" s="40">
        <f>F31*G26</f>
        <v>6501.2602500000003</v>
      </c>
      <c r="H31" s="40">
        <f>F31*H26</f>
        <v>19503.780750000002</v>
      </c>
    </row>
    <row r="32" spans="1:8" x14ac:dyDescent="0.25">
      <c r="A32" s="39" t="s">
        <v>257</v>
      </c>
      <c r="B32" s="40">
        <f>M8</f>
        <v>498.68</v>
      </c>
      <c r="C32" s="40">
        <f>B32*C26</f>
        <v>124.67</v>
      </c>
      <c r="D32" s="40">
        <f>B32*D26</f>
        <v>374.01</v>
      </c>
      <c r="E32" s="45"/>
      <c r="F32" s="40">
        <f>B32</f>
        <v>498.68</v>
      </c>
      <c r="G32" s="40">
        <f>F32*G26</f>
        <v>124.67</v>
      </c>
      <c r="H32" s="40">
        <f>F32*H26</f>
        <v>374.01</v>
      </c>
    </row>
    <row r="33" spans="1:8" x14ac:dyDescent="0.25">
      <c r="A33" s="39" t="s">
        <v>258</v>
      </c>
      <c r="B33" s="40"/>
      <c r="C33" s="40"/>
      <c r="D33" s="42"/>
      <c r="E33" s="45"/>
      <c r="F33" s="40"/>
      <c r="G33" s="40">
        <f>F33*G26</f>
        <v>0</v>
      </c>
      <c r="H33" s="40">
        <f>F33*H26</f>
        <v>0</v>
      </c>
    </row>
    <row r="34" spans="1:8" x14ac:dyDescent="0.25">
      <c r="A34" s="46" t="s">
        <v>259</v>
      </c>
      <c r="B34" s="47">
        <f>SUM(B27:B33)</f>
        <v>92835.966823999988</v>
      </c>
      <c r="C34" s="47">
        <f>SUM(C27:C33)</f>
        <v>23208.991705999997</v>
      </c>
      <c r="D34" s="47">
        <f>SUM(D27:D33)</f>
        <v>69626.975117999988</v>
      </c>
      <c r="E34" s="48"/>
      <c r="F34" s="47">
        <f>SUM(F27:F33)</f>
        <v>96815.901573439987</v>
      </c>
      <c r="G34" s="47">
        <f>SUM(G27:G33)</f>
        <v>24203.975393359997</v>
      </c>
      <c r="H34" s="47">
        <f>SUM(H27:H33)</f>
        <v>72611.926180080001</v>
      </c>
    </row>
    <row r="35" spans="1:8" x14ac:dyDescent="0.25">
      <c r="A35" s="49" t="s">
        <v>260</v>
      </c>
      <c r="B35" s="50"/>
      <c r="C35" s="50"/>
      <c r="D35" s="51"/>
      <c r="E35" s="52"/>
      <c r="F35" s="77">
        <f>F34/2080</f>
        <v>46.546106525692302</v>
      </c>
      <c r="G35" s="50"/>
      <c r="H35" s="50"/>
    </row>
    <row r="36" spans="1:8" x14ac:dyDescent="0.25">
      <c r="F36" s="2"/>
      <c r="G36" s="2"/>
      <c r="H36" s="2"/>
    </row>
    <row r="37" spans="1:8" x14ac:dyDescent="0.25">
      <c r="A37" s="31" t="s">
        <v>263</v>
      </c>
      <c r="B37" s="32" t="s">
        <v>248</v>
      </c>
      <c r="C37" s="34">
        <v>0.8</v>
      </c>
      <c r="D37" s="34">
        <v>0.2</v>
      </c>
      <c r="E37" s="33" t="s">
        <v>249</v>
      </c>
      <c r="F37" s="32" t="s">
        <v>248</v>
      </c>
      <c r="G37" s="34">
        <v>0.8</v>
      </c>
      <c r="H37" s="34">
        <v>0.2</v>
      </c>
    </row>
    <row r="38" spans="1:8" x14ac:dyDescent="0.25">
      <c r="A38" s="39" t="s">
        <v>250</v>
      </c>
      <c r="B38" s="40">
        <f>E38*2080</f>
        <v>41641.599999999999</v>
      </c>
      <c r="C38" s="40">
        <f>B38*C37</f>
        <v>33313.279999999999</v>
      </c>
      <c r="D38" s="40">
        <f>B38*D37</f>
        <v>8328.32</v>
      </c>
      <c r="E38" s="41">
        <v>20.02</v>
      </c>
      <c r="F38" s="40">
        <f>E39*2080</f>
        <v>44140.095999999998</v>
      </c>
      <c r="G38" s="40">
        <f>F38*G37</f>
        <v>35312.076800000003</v>
      </c>
      <c r="H38" s="40">
        <f>F38*H37</f>
        <v>8828.0192000000006</v>
      </c>
    </row>
    <row r="39" spans="1:8" x14ac:dyDescent="0.25">
      <c r="A39" s="39" t="s">
        <v>251</v>
      </c>
      <c r="B39" s="40">
        <f>(E38*1.5)*(2080*0.1)</f>
        <v>6246.24</v>
      </c>
      <c r="C39" s="40">
        <f>B39*C37</f>
        <v>4996.9920000000002</v>
      </c>
      <c r="D39" s="40">
        <f>B39*D37</f>
        <v>1249.248</v>
      </c>
      <c r="E39" s="44">
        <f>E38+(E38*Pay_Increase)</f>
        <v>21.2212</v>
      </c>
      <c r="F39" s="40">
        <f>(E39*1.5)*(2080*0.1)</f>
        <v>6621.0144</v>
      </c>
      <c r="G39" s="40">
        <f>F39*G37</f>
        <v>5296.8115200000002</v>
      </c>
      <c r="H39" s="40">
        <f>F39*H37</f>
        <v>1324.2028800000001</v>
      </c>
    </row>
    <row r="40" spans="1:8" x14ac:dyDescent="0.25">
      <c r="A40" s="39" t="s">
        <v>253</v>
      </c>
      <c r="B40" s="40">
        <f>(B38+B39)*FRS</f>
        <v>6718.6639519999999</v>
      </c>
      <c r="C40" s="40">
        <f>B40*C37</f>
        <v>5374.9311616000005</v>
      </c>
      <c r="D40" s="40">
        <f>B40*D37</f>
        <v>1343.7327904000001</v>
      </c>
      <c r="E40" s="44"/>
      <c r="F40" s="40">
        <f>(F38+F39)*FRS</f>
        <v>7121.7837891199997</v>
      </c>
      <c r="G40" s="40">
        <f>F40*G37</f>
        <v>5697.4270312959998</v>
      </c>
      <c r="H40" s="40">
        <f>F40*H37</f>
        <v>1424.3567578239999</v>
      </c>
    </row>
    <row r="41" spans="1:8" x14ac:dyDescent="0.25">
      <c r="A41" s="39" t="s">
        <v>161</v>
      </c>
      <c r="B41" s="40">
        <f>(B38+B39)*FICA</f>
        <v>3663.4197599999998</v>
      </c>
      <c r="C41" s="40">
        <f>B41*C37</f>
        <v>2930.7358079999999</v>
      </c>
      <c r="D41" s="42">
        <f>B41*D37</f>
        <v>732.68395199999998</v>
      </c>
      <c r="E41" s="45"/>
      <c r="F41" s="40">
        <f>(F38+F39)*FICA</f>
        <v>3883.2249456</v>
      </c>
      <c r="G41" s="40">
        <f>F41*G37</f>
        <v>3106.57995648</v>
      </c>
      <c r="H41" s="40">
        <f>F41*H37</f>
        <v>776.64498911999999</v>
      </c>
    </row>
    <row r="42" spans="1:8" x14ac:dyDescent="0.25">
      <c r="A42" s="39" t="s">
        <v>256</v>
      </c>
      <c r="B42" s="40">
        <f>N7</f>
        <v>14169.807000000001</v>
      </c>
      <c r="C42" s="40">
        <f>B42*C37</f>
        <v>11335.845600000001</v>
      </c>
      <c r="D42" s="42">
        <f>B42*D37</f>
        <v>2833.9614000000001</v>
      </c>
      <c r="E42" s="45"/>
      <c r="F42" s="40">
        <f>B42</f>
        <v>14169.807000000001</v>
      </c>
      <c r="G42" s="40">
        <f>F42*G37</f>
        <v>11335.845600000001</v>
      </c>
      <c r="H42" s="40">
        <f>F42*H37</f>
        <v>2833.9614000000001</v>
      </c>
    </row>
    <row r="43" spans="1:8" x14ac:dyDescent="0.25">
      <c r="A43" s="39" t="s">
        <v>257</v>
      </c>
      <c r="B43" s="40">
        <f>N8</f>
        <v>397.28</v>
      </c>
      <c r="C43" s="40">
        <f>B43*C37</f>
        <v>317.82400000000001</v>
      </c>
      <c r="D43" s="40">
        <f>B43*D37</f>
        <v>79.456000000000003</v>
      </c>
      <c r="E43" s="45"/>
      <c r="F43" s="40">
        <f>B43</f>
        <v>397.28</v>
      </c>
      <c r="G43" s="40">
        <f>F43*G37</f>
        <v>317.82400000000001</v>
      </c>
      <c r="H43" s="40">
        <f>F43*H37</f>
        <v>79.456000000000003</v>
      </c>
    </row>
    <row r="44" spans="1:8" x14ac:dyDescent="0.25">
      <c r="A44" s="39" t="s">
        <v>258</v>
      </c>
      <c r="B44" s="40"/>
      <c r="C44" s="40"/>
      <c r="D44" s="42"/>
      <c r="E44" s="45"/>
      <c r="F44" s="40"/>
      <c r="G44" s="40">
        <f>F44*G37</f>
        <v>0</v>
      </c>
      <c r="H44" s="40">
        <f>F44*H37</f>
        <v>0</v>
      </c>
    </row>
    <row r="45" spans="1:8" x14ac:dyDescent="0.25">
      <c r="A45" s="46" t="s">
        <v>259</v>
      </c>
      <c r="B45" s="47">
        <f>SUM(B38:B44)</f>
        <v>72837.010711999988</v>
      </c>
      <c r="C45" s="47">
        <f>SUM(C38:C44)</f>
        <v>58269.608569599994</v>
      </c>
      <c r="D45" s="47">
        <f>SUM(D38:D44)</f>
        <v>14567.402142399998</v>
      </c>
      <c r="E45" s="48"/>
      <c r="F45" s="47">
        <f>SUM(F38:F44)</f>
        <v>76333.206134719992</v>
      </c>
      <c r="G45" s="47">
        <f>SUM(G38:G44)</f>
        <v>61066.56490777601</v>
      </c>
      <c r="H45" s="47">
        <f>SUM(H38:H44)</f>
        <v>15266.641226944002</v>
      </c>
    </row>
    <row r="46" spans="1:8" x14ac:dyDescent="0.25">
      <c r="A46" s="49" t="s">
        <v>260</v>
      </c>
      <c r="B46" s="50"/>
      <c r="C46" s="50"/>
      <c r="D46" s="51"/>
      <c r="E46" s="52"/>
      <c r="F46" s="77">
        <f>F45/2080</f>
        <v>36.698656795538454</v>
      </c>
      <c r="G46" s="50"/>
      <c r="H46" s="50"/>
    </row>
    <row r="47" spans="1:8" x14ac:dyDescent="0.25">
      <c r="F47" s="2"/>
      <c r="G47" s="2"/>
      <c r="H47" s="2"/>
    </row>
    <row r="48" spans="1:8" x14ac:dyDescent="0.25">
      <c r="A48" s="31" t="s">
        <v>264</v>
      </c>
      <c r="B48" s="32" t="s">
        <v>248</v>
      </c>
      <c r="C48" s="34">
        <v>0.8</v>
      </c>
      <c r="D48" s="34">
        <v>0.2</v>
      </c>
      <c r="E48" s="33" t="s">
        <v>249</v>
      </c>
      <c r="F48" s="32" t="s">
        <v>248</v>
      </c>
      <c r="G48" s="34">
        <v>0.8</v>
      </c>
      <c r="H48" s="34">
        <v>0.2</v>
      </c>
    </row>
    <row r="49" spans="1:8" x14ac:dyDescent="0.25">
      <c r="A49" s="39" t="s">
        <v>250</v>
      </c>
      <c r="B49" s="40">
        <f>E49*2080</f>
        <v>42203.199999999997</v>
      </c>
      <c r="C49" s="40">
        <f>B49*C48</f>
        <v>33762.559999999998</v>
      </c>
      <c r="D49" s="40">
        <f>B49*D48</f>
        <v>8440.64</v>
      </c>
      <c r="E49" s="41">
        <v>20.29</v>
      </c>
      <c r="F49" s="40">
        <f>E50*2080</f>
        <v>44735.392</v>
      </c>
      <c r="G49" s="40">
        <f>F49*G48</f>
        <v>35788.313600000001</v>
      </c>
      <c r="H49" s="40">
        <f>F49*H48</f>
        <v>8947.0784000000003</v>
      </c>
    </row>
    <row r="50" spans="1:8" x14ac:dyDescent="0.25">
      <c r="A50" s="39" t="s">
        <v>251</v>
      </c>
      <c r="B50" s="40">
        <f>(E49*1.5)*(2080*0.1)</f>
        <v>6330.48</v>
      </c>
      <c r="C50" s="40">
        <f>B50*C48</f>
        <v>5064.384</v>
      </c>
      <c r="D50" s="40">
        <f>B50*D48</f>
        <v>1266.096</v>
      </c>
      <c r="E50" s="44">
        <f>E49+(E49*Pay_Increase)</f>
        <v>21.507400000000001</v>
      </c>
      <c r="F50" s="40">
        <f>(E50*1.5)*(2080*0.1)</f>
        <v>6710.3087999999998</v>
      </c>
      <c r="G50" s="40">
        <f>F50*G48</f>
        <v>5368.2470400000002</v>
      </c>
      <c r="H50" s="40">
        <f>F50*H48</f>
        <v>1342.06176</v>
      </c>
    </row>
    <row r="51" spans="1:8" x14ac:dyDescent="0.25">
      <c r="A51" s="39" t="s">
        <v>253</v>
      </c>
      <c r="B51" s="40">
        <f>(B49+B50)*FRS</f>
        <v>6809.2753039999998</v>
      </c>
      <c r="C51" s="40">
        <f>B51*C48</f>
        <v>5447.4202432000002</v>
      </c>
      <c r="D51" s="40">
        <f>B51*D48</f>
        <v>1361.8550608</v>
      </c>
      <c r="E51" s="44"/>
      <c r="F51" s="40">
        <f>(F49+F50)*FRS</f>
        <v>7217.8318222400003</v>
      </c>
      <c r="G51" s="40">
        <f>F51*G48</f>
        <v>5774.2654577920002</v>
      </c>
      <c r="H51" s="40">
        <f>F51*H48</f>
        <v>1443.5663644480001</v>
      </c>
    </row>
    <row r="52" spans="1:8" x14ac:dyDescent="0.25">
      <c r="A52" s="39" t="s">
        <v>161</v>
      </c>
      <c r="B52" s="40">
        <f>(B49+B50)*FICA</f>
        <v>3712.8265199999996</v>
      </c>
      <c r="C52" s="40">
        <f>B52*C48</f>
        <v>2970.2612159999999</v>
      </c>
      <c r="D52" s="42">
        <f>B52*D48</f>
        <v>742.56530399999997</v>
      </c>
      <c r="E52" s="45"/>
      <c r="F52" s="40">
        <f>(F49+F50)*FICA</f>
        <v>3935.5961112</v>
      </c>
      <c r="G52" s="40">
        <f>F52*G48</f>
        <v>3148.47688896</v>
      </c>
      <c r="H52" s="40">
        <f>F52*H48</f>
        <v>787.11922224</v>
      </c>
    </row>
    <row r="53" spans="1:8" x14ac:dyDescent="0.25">
      <c r="A53" s="39" t="s">
        <v>256</v>
      </c>
      <c r="B53" s="40">
        <f>O7</f>
        <v>35733.060000000005</v>
      </c>
      <c r="C53" s="40">
        <f>B53*C48</f>
        <v>28586.448000000004</v>
      </c>
      <c r="D53" s="42">
        <f>B53*D48</f>
        <v>7146.612000000001</v>
      </c>
      <c r="E53" s="45"/>
      <c r="F53" s="40">
        <f>B53</f>
        <v>35733.060000000005</v>
      </c>
      <c r="G53" s="40">
        <f>F53*G48</f>
        <v>28586.448000000004</v>
      </c>
      <c r="H53" s="40">
        <f>F53*H48</f>
        <v>7146.612000000001</v>
      </c>
    </row>
    <row r="54" spans="1:8" x14ac:dyDescent="0.25">
      <c r="A54" s="39" t="s">
        <v>257</v>
      </c>
      <c r="B54" s="40">
        <f>O8</f>
        <v>498.16</v>
      </c>
      <c r="C54" s="40">
        <f>B54*C48</f>
        <v>398.52800000000002</v>
      </c>
      <c r="D54" s="40">
        <f>B54*D48</f>
        <v>99.632000000000005</v>
      </c>
      <c r="E54" s="45"/>
      <c r="F54" s="40">
        <f>B54</f>
        <v>498.16</v>
      </c>
      <c r="G54" s="40">
        <f>F54*G48</f>
        <v>398.52800000000002</v>
      </c>
      <c r="H54" s="40">
        <f>F54*H48</f>
        <v>99.632000000000005</v>
      </c>
    </row>
    <row r="55" spans="1:8" x14ac:dyDescent="0.25">
      <c r="A55" s="39" t="s">
        <v>258</v>
      </c>
      <c r="B55" s="40"/>
      <c r="C55" s="40"/>
      <c r="D55" s="42"/>
      <c r="E55" s="45"/>
      <c r="F55" s="40"/>
      <c r="G55" s="40">
        <f>F55*G48</f>
        <v>0</v>
      </c>
      <c r="H55" s="40">
        <f>F55*H48</f>
        <v>0</v>
      </c>
    </row>
    <row r="56" spans="1:8" x14ac:dyDescent="0.25">
      <c r="A56" s="46" t="s">
        <v>259</v>
      </c>
      <c r="B56" s="47">
        <f>SUM(B49:B55)</f>
        <v>95287.001824000006</v>
      </c>
      <c r="C56" s="47">
        <f>SUM(C49:C55)</f>
        <v>76229.601459200014</v>
      </c>
      <c r="D56" s="47">
        <f>SUM(D49:D55)</f>
        <v>19057.400364800003</v>
      </c>
      <c r="E56" s="48"/>
      <c r="F56" s="47">
        <f>SUM(F49:F55)</f>
        <v>98830.348733440012</v>
      </c>
      <c r="G56" s="47">
        <f>SUM(G49:G55)</f>
        <v>79064.278986752019</v>
      </c>
      <c r="H56" s="47">
        <f>SUM(H49:H55)</f>
        <v>19766.069746688005</v>
      </c>
    </row>
    <row r="57" spans="1:8" x14ac:dyDescent="0.25">
      <c r="A57" s="49" t="s">
        <v>260</v>
      </c>
      <c r="B57" s="50"/>
      <c r="C57" s="50"/>
      <c r="D57" s="51"/>
      <c r="E57" s="52"/>
      <c r="F57" s="77">
        <f>F56/2080</f>
        <v>47.514590737230776</v>
      </c>
      <c r="G57" s="50"/>
      <c r="H57" s="50"/>
    </row>
    <row r="58" spans="1:8" x14ac:dyDescent="0.25">
      <c r="F58" s="2"/>
      <c r="G58" s="2"/>
      <c r="H58" s="2"/>
    </row>
    <row r="59" spans="1:8" x14ac:dyDescent="0.25">
      <c r="A59" s="31" t="s">
        <v>265</v>
      </c>
      <c r="B59" s="32" t="s">
        <v>248</v>
      </c>
      <c r="C59" s="34">
        <v>0.5</v>
      </c>
      <c r="D59" s="34">
        <v>0.5</v>
      </c>
      <c r="E59" s="33" t="s">
        <v>249</v>
      </c>
      <c r="F59" s="32" t="s">
        <v>248</v>
      </c>
      <c r="G59" s="34">
        <v>0.5</v>
      </c>
      <c r="H59" s="34">
        <v>0.5</v>
      </c>
    </row>
    <row r="60" spans="1:8" x14ac:dyDescent="0.25">
      <c r="A60" s="39" t="s">
        <v>250</v>
      </c>
      <c r="B60" s="40">
        <f>E60*2080</f>
        <v>38438.400000000001</v>
      </c>
      <c r="C60" s="40">
        <f>B60*C59</f>
        <v>19219.2</v>
      </c>
      <c r="D60" s="40">
        <f>B60*D59</f>
        <v>19219.2</v>
      </c>
      <c r="E60" s="41">
        <v>18.48</v>
      </c>
      <c r="F60" s="40">
        <f>E61*2080</f>
        <v>40744.703999999998</v>
      </c>
      <c r="G60" s="40">
        <f>F60*G59</f>
        <v>20372.351999999999</v>
      </c>
      <c r="H60" s="40">
        <f>F60*H59</f>
        <v>20372.351999999999</v>
      </c>
    </row>
    <row r="61" spans="1:8" x14ac:dyDescent="0.25">
      <c r="A61" s="39" t="s">
        <v>251</v>
      </c>
      <c r="B61" s="40">
        <f>(E60*1.5)*(2080*0.1)</f>
        <v>5765.76</v>
      </c>
      <c r="C61" s="40">
        <f>B61*C59</f>
        <v>2882.88</v>
      </c>
      <c r="D61" s="40">
        <f>B61*D59</f>
        <v>2882.88</v>
      </c>
      <c r="E61" s="44">
        <f>E60+(E60*Pay_Increase)</f>
        <v>19.588799999999999</v>
      </c>
      <c r="F61" s="40">
        <f>(E61*1.5)*(2080*0.1)</f>
        <v>6111.7055999999993</v>
      </c>
      <c r="G61" s="40">
        <f>F61*G59</f>
        <v>3055.8527999999997</v>
      </c>
      <c r="H61" s="40">
        <f>F61*H59</f>
        <v>3055.8527999999997</v>
      </c>
    </row>
    <row r="62" spans="1:8" x14ac:dyDescent="0.25">
      <c r="A62" s="39" t="s">
        <v>253</v>
      </c>
      <c r="B62" s="40">
        <f>(B60+B61)*FRS</f>
        <v>6201.8436480000009</v>
      </c>
      <c r="C62" s="40">
        <f>B62*C59</f>
        <v>3100.9218240000005</v>
      </c>
      <c r="D62" s="40">
        <f>B62*D59</f>
        <v>3100.9218240000005</v>
      </c>
      <c r="E62" s="44"/>
      <c r="F62" s="40">
        <f>(F60+F61)*FRS</f>
        <v>6573.9542668800004</v>
      </c>
      <c r="G62" s="40">
        <f>F62*G59</f>
        <v>3286.9771334400002</v>
      </c>
      <c r="H62" s="40">
        <f>F62*H59</f>
        <v>3286.9771334400002</v>
      </c>
    </row>
    <row r="63" spans="1:8" x14ac:dyDescent="0.25">
      <c r="A63" s="39" t="s">
        <v>161</v>
      </c>
      <c r="B63" s="40">
        <f>(B60+B61)*FICA</f>
        <v>3381.6182400000002</v>
      </c>
      <c r="C63" s="40">
        <f>B63*C59</f>
        <v>1690.8091200000001</v>
      </c>
      <c r="D63" s="42">
        <f>B63*D59</f>
        <v>1690.8091200000001</v>
      </c>
      <c r="E63" s="45"/>
      <c r="F63" s="40">
        <f>(F60+F61)*FICA</f>
        <v>3584.5153344</v>
      </c>
      <c r="G63" s="40">
        <f>F63*G59</f>
        <v>1792.2576672</v>
      </c>
      <c r="H63" s="40">
        <f>F63*H59</f>
        <v>1792.2576672</v>
      </c>
    </row>
    <row r="64" spans="1:8" x14ac:dyDescent="0.25">
      <c r="A64" s="39" t="s">
        <v>256</v>
      </c>
      <c r="B64" s="40">
        <f>P7</f>
        <v>6536.6190000000006</v>
      </c>
      <c r="C64" s="40">
        <f>B64*C59</f>
        <v>3268.3095000000003</v>
      </c>
      <c r="D64" s="42">
        <f>B64*D59</f>
        <v>3268.3095000000003</v>
      </c>
      <c r="E64" s="45"/>
      <c r="F64" s="40">
        <f>B64</f>
        <v>6536.6190000000006</v>
      </c>
      <c r="G64" s="40">
        <f>F64*G59</f>
        <v>3268.3095000000003</v>
      </c>
      <c r="H64" s="40">
        <f>F64*H59</f>
        <v>3268.3095000000003</v>
      </c>
    </row>
    <row r="65" spans="1:8" x14ac:dyDescent="0.25">
      <c r="A65" s="39" t="s">
        <v>257</v>
      </c>
      <c r="B65" s="40">
        <f>P8</f>
        <v>248.56</v>
      </c>
      <c r="C65" s="40">
        <f>B65*C59</f>
        <v>124.28</v>
      </c>
      <c r="D65" s="40">
        <f>B65*D59</f>
        <v>124.28</v>
      </c>
      <c r="E65" s="45"/>
      <c r="F65" s="40">
        <f>B65</f>
        <v>248.56</v>
      </c>
      <c r="G65" s="40">
        <f>F65*G59</f>
        <v>124.28</v>
      </c>
      <c r="H65" s="40">
        <f>F65*H59</f>
        <v>124.28</v>
      </c>
    </row>
    <row r="66" spans="1:8" x14ac:dyDescent="0.25">
      <c r="A66" s="39" t="s">
        <v>258</v>
      </c>
      <c r="B66" s="40"/>
      <c r="C66" s="40"/>
      <c r="D66" s="42"/>
      <c r="E66" s="45"/>
      <c r="F66" s="40"/>
      <c r="G66" s="40">
        <f>F66*G59</f>
        <v>0</v>
      </c>
      <c r="H66" s="40">
        <f>F66*H59</f>
        <v>0</v>
      </c>
    </row>
    <row r="67" spans="1:8" x14ac:dyDescent="0.25">
      <c r="A67" s="46" t="s">
        <v>259</v>
      </c>
      <c r="B67" s="47">
        <f>SUM(B60:B66)</f>
        <v>60572.800888000005</v>
      </c>
      <c r="C67" s="47">
        <f>SUM(C60:C66)</f>
        <v>30286.400444000003</v>
      </c>
      <c r="D67" s="47">
        <f>SUM(D60:D66)</f>
        <v>30286.400444000003</v>
      </c>
      <c r="E67" s="48"/>
      <c r="F67" s="47">
        <f>SUM(F60:F66)</f>
        <v>63800.058201279993</v>
      </c>
      <c r="G67" s="47">
        <f>SUM(G60:G66)</f>
        <v>31900.029100639997</v>
      </c>
      <c r="H67" s="47">
        <f>SUM(H60:H66)</f>
        <v>31900.029100639997</v>
      </c>
    </row>
    <row r="68" spans="1:8" x14ac:dyDescent="0.25">
      <c r="A68" s="49" t="s">
        <v>260</v>
      </c>
      <c r="B68" s="50"/>
      <c r="C68" s="50"/>
      <c r="D68" s="51"/>
      <c r="E68" s="52"/>
      <c r="F68" s="77">
        <f>F67/2080</f>
        <v>30.673104904461535</v>
      </c>
      <c r="G68" s="50"/>
      <c r="H68" s="50"/>
    </row>
    <row r="69" spans="1:8" x14ac:dyDescent="0.25">
      <c r="F69" s="2"/>
      <c r="G69" s="2"/>
      <c r="H69" s="2"/>
    </row>
    <row r="70" spans="1:8" x14ac:dyDescent="0.25">
      <c r="A70" s="31" t="s">
        <v>266</v>
      </c>
      <c r="B70" s="32" t="s">
        <v>248</v>
      </c>
      <c r="C70" s="34">
        <v>0</v>
      </c>
      <c r="D70" s="34">
        <v>1</v>
      </c>
      <c r="E70" s="33" t="s">
        <v>249</v>
      </c>
      <c r="F70" s="32" t="s">
        <v>248</v>
      </c>
      <c r="G70" s="34">
        <v>0</v>
      </c>
      <c r="H70" s="34">
        <v>1</v>
      </c>
    </row>
    <row r="71" spans="1:8" x14ac:dyDescent="0.25">
      <c r="A71" s="39" t="s">
        <v>250</v>
      </c>
      <c r="B71" s="40">
        <f>E71</f>
        <v>7415.76</v>
      </c>
      <c r="C71" s="40">
        <f t="shared" ref="C71:C76" si="3">B71*C70</f>
        <v>0</v>
      </c>
      <c r="D71" s="40">
        <f>B71*D70</f>
        <v>7415.76</v>
      </c>
      <c r="E71" s="41">
        <v>7415.76</v>
      </c>
      <c r="F71" s="40">
        <f>B71+(B71*Pay_Increase)</f>
        <v>7860.7056000000002</v>
      </c>
      <c r="G71" s="40">
        <f t="shared" ref="G71:G76" si="4">F71*G70</f>
        <v>0</v>
      </c>
      <c r="H71" s="40">
        <f>F71</f>
        <v>7860.7056000000002</v>
      </c>
    </row>
    <row r="72" spans="1:8" x14ac:dyDescent="0.25">
      <c r="A72" s="39" t="s">
        <v>251</v>
      </c>
      <c r="B72" s="40">
        <v>0</v>
      </c>
      <c r="C72" s="40">
        <f>B72*C71</f>
        <v>0</v>
      </c>
      <c r="D72" s="42">
        <f>B72</f>
        <v>0</v>
      </c>
      <c r="E72" s="44">
        <f>E71+(E71*Pay_Increase)</f>
        <v>7860.7056000000002</v>
      </c>
      <c r="F72" s="40">
        <v>0</v>
      </c>
      <c r="G72" s="40">
        <f t="shared" si="4"/>
        <v>0</v>
      </c>
      <c r="H72" s="40">
        <f t="shared" ref="H72:H77" si="5">F72</f>
        <v>0</v>
      </c>
    </row>
    <row r="73" spans="1:8" x14ac:dyDescent="0.25">
      <c r="A73" s="39" t="s">
        <v>253</v>
      </c>
      <c r="B73" s="40">
        <f>B71*FRS</f>
        <v>1040.4311280000002</v>
      </c>
      <c r="C73" s="40">
        <f t="shared" si="3"/>
        <v>0</v>
      </c>
      <c r="D73" s="42">
        <f>B73</f>
        <v>1040.4311280000002</v>
      </c>
      <c r="E73" s="44"/>
      <c r="F73" s="43">
        <f>F71*FRS</f>
        <v>1102.8569956800002</v>
      </c>
      <c r="G73" s="40">
        <f t="shared" si="4"/>
        <v>0</v>
      </c>
      <c r="H73" s="40">
        <f t="shared" si="5"/>
        <v>1102.8569956800002</v>
      </c>
    </row>
    <row r="74" spans="1:8" x14ac:dyDescent="0.25">
      <c r="A74" s="39" t="s">
        <v>161</v>
      </c>
      <c r="B74" s="40">
        <f>B71*FICA</f>
        <v>567.30564000000004</v>
      </c>
      <c r="C74" s="40">
        <f t="shared" si="3"/>
        <v>0</v>
      </c>
      <c r="D74" s="42">
        <f>B74</f>
        <v>567.30564000000004</v>
      </c>
      <c r="E74" s="45"/>
      <c r="F74" s="43">
        <f>F71*FRS</f>
        <v>1102.8569956800002</v>
      </c>
      <c r="G74" s="40">
        <f t="shared" si="4"/>
        <v>0</v>
      </c>
      <c r="H74" s="40">
        <f t="shared" si="5"/>
        <v>1102.8569956800002</v>
      </c>
    </row>
    <row r="75" spans="1:8" x14ac:dyDescent="0.25">
      <c r="A75" s="39" t="s">
        <v>256</v>
      </c>
      <c r="B75" s="40">
        <v>0</v>
      </c>
      <c r="C75" s="40">
        <f t="shared" si="3"/>
        <v>0</v>
      </c>
      <c r="D75" s="42">
        <f>B75</f>
        <v>0</v>
      </c>
      <c r="E75" s="45"/>
      <c r="F75" s="43">
        <f>F72*FICA</f>
        <v>0</v>
      </c>
      <c r="G75" s="40">
        <f t="shared" si="4"/>
        <v>0</v>
      </c>
      <c r="H75" s="40">
        <f t="shared" si="5"/>
        <v>0</v>
      </c>
    </row>
    <row r="76" spans="1:8" x14ac:dyDescent="0.25">
      <c r="A76" s="39" t="s">
        <v>257</v>
      </c>
      <c r="B76" s="40">
        <v>0</v>
      </c>
      <c r="C76" s="40">
        <f t="shared" si="3"/>
        <v>0</v>
      </c>
      <c r="D76" s="42">
        <f>B76</f>
        <v>0</v>
      </c>
      <c r="E76" s="45"/>
      <c r="F76" s="43">
        <f>B76</f>
        <v>0</v>
      </c>
      <c r="G76" s="40">
        <f t="shared" si="4"/>
        <v>0</v>
      </c>
      <c r="H76" s="40">
        <f t="shared" si="5"/>
        <v>0</v>
      </c>
    </row>
    <row r="77" spans="1:8" x14ac:dyDescent="0.25">
      <c r="A77" s="39" t="s">
        <v>258</v>
      </c>
      <c r="B77" s="40"/>
      <c r="C77" s="40"/>
      <c r="D77" s="42"/>
      <c r="E77" s="45"/>
      <c r="F77" s="43">
        <f>B77</f>
        <v>0</v>
      </c>
      <c r="G77" s="40"/>
      <c r="H77" s="40">
        <f t="shared" si="5"/>
        <v>0</v>
      </c>
    </row>
    <row r="78" spans="1:8" x14ac:dyDescent="0.25">
      <c r="A78" s="46" t="s">
        <v>259</v>
      </c>
      <c r="B78" s="47">
        <f>SUM(B71:B77)</f>
        <v>9023.4967680000009</v>
      </c>
      <c r="C78" s="47">
        <f>SUM(C71:C77)</f>
        <v>0</v>
      </c>
      <c r="D78" s="47">
        <f>SUM(D71:D77)</f>
        <v>9023.4967680000009</v>
      </c>
      <c r="E78" s="48"/>
      <c r="F78" s="47">
        <f>SUM(F71:F77)</f>
        <v>10066.41959136</v>
      </c>
      <c r="G78" s="47">
        <f>SUM(G71:G77)</f>
        <v>0</v>
      </c>
      <c r="H78" s="47">
        <f>SUM(H71:H77)</f>
        <v>10066.41959136</v>
      </c>
    </row>
    <row r="79" spans="1:8" x14ac:dyDescent="0.25">
      <c r="A79" s="49" t="s">
        <v>260</v>
      </c>
      <c r="B79" s="50"/>
      <c r="C79" s="50"/>
      <c r="D79" s="51"/>
      <c r="E79" s="52"/>
      <c r="F79" s="53"/>
      <c r="G79" s="50"/>
      <c r="H79" s="50"/>
    </row>
    <row r="81" spans="1:16" x14ac:dyDescent="0.25">
      <c r="A81" t="s">
        <v>267</v>
      </c>
      <c r="B81" s="7">
        <v>0.14030000000000001</v>
      </c>
    </row>
    <row r="82" spans="1:16" x14ac:dyDescent="0.25">
      <c r="A82" t="s">
        <v>161</v>
      </c>
      <c r="B82" s="7">
        <v>7.6499999999999999E-2</v>
      </c>
    </row>
    <row r="84" spans="1:16" x14ac:dyDescent="0.25">
      <c r="B84" s="82" t="s">
        <v>287</v>
      </c>
      <c r="C84" s="82"/>
      <c r="D84" s="82"/>
      <c r="F84" s="82" t="s">
        <v>299</v>
      </c>
      <c r="G84" s="82"/>
      <c r="H84" s="82"/>
    </row>
    <row r="85" spans="1:16" x14ac:dyDescent="0.25">
      <c r="A85" s="14" t="s">
        <v>268</v>
      </c>
      <c r="B85" s="15" t="s">
        <v>248</v>
      </c>
      <c r="C85" s="38">
        <v>0.66</v>
      </c>
      <c r="D85" s="38">
        <v>0.34</v>
      </c>
      <c r="E85" s="5"/>
      <c r="F85" s="15" t="s">
        <v>248</v>
      </c>
      <c r="G85" s="38">
        <v>0.66</v>
      </c>
      <c r="H85" s="38">
        <v>0.34</v>
      </c>
    </row>
    <row r="86" spans="1:16" x14ac:dyDescent="0.25">
      <c r="A86" s="39" t="s">
        <v>250</v>
      </c>
      <c r="B86" s="40">
        <f t="shared" ref="B86:D87" si="6">SUM(B5,B16,B27,B38,B49,B60,B71)</f>
        <v>313676.76</v>
      </c>
      <c r="C86" s="40">
        <f t="shared" si="6"/>
        <v>207405.52000000002</v>
      </c>
      <c r="D86" s="40">
        <f t="shared" si="6"/>
        <v>106271.23999999998</v>
      </c>
      <c r="E86" s="54"/>
      <c r="F86" s="40">
        <f t="shared" ref="F86:H87" si="7">SUM(F5,F16,F27,F38,F49,F60,F71)</f>
        <v>332497.36560000002</v>
      </c>
      <c r="G86" s="40">
        <f t="shared" si="7"/>
        <v>219849.85119999998</v>
      </c>
      <c r="H86" s="40">
        <f t="shared" si="7"/>
        <v>112647.5144</v>
      </c>
    </row>
    <row r="87" spans="1:16" x14ac:dyDescent="0.25">
      <c r="A87" s="39" t="s">
        <v>251</v>
      </c>
      <c r="B87" s="40">
        <f t="shared" si="6"/>
        <v>36582</v>
      </c>
      <c r="C87" s="40">
        <f t="shared" si="6"/>
        <v>23625.108000000004</v>
      </c>
      <c r="D87" s="40">
        <f t="shared" si="6"/>
        <v>12956.892</v>
      </c>
      <c r="F87" s="40">
        <f t="shared" si="7"/>
        <v>38776.92</v>
      </c>
      <c r="G87" s="40">
        <f t="shared" si="7"/>
        <v>25042.614480000004</v>
      </c>
      <c r="H87" s="40">
        <f t="shared" si="7"/>
        <v>13734.305520000002</v>
      </c>
    </row>
    <row r="88" spans="1:16" x14ac:dyDescent="0.25">
      <c r="A88" s="46" t="s">
        <v>269</v>
      </c>
      <c r="B88" s="47">
        <f>SUM(B86:B87)</f>
        <v>350258.76</v>
      </c>
      <c r="C88" s="47">
        <f>SUM(C86:C87)</f>
        <v>231030.62800000003</v>
      </c>
      <c r="D88" s="47">
        <f>SUM(D86:D87)</f>
        <v>119228.13199999998</v>
      </c>
      <c r="E88" s="5"/>
      <c r="F88" s="47">
        <f>SUM(F86:F87)</f>
        <v>371274.2856</v>
      </c>
      <c r="G88" s="47">
        <f>SUM(G86:G87)</f>
        <v>244892.46567999996</v>
      </c>
      <c r="H88" s="47">
        <f>SUM(H86:H87)</f>
        <v>126381.81992000001</v>
      </c>
    </row>
    <row r="89" spans="1:16" x14ac:dyDescent="0.25">
      <c r="A89" s="39" t="s">
        <v>253</v>
      </c>
      <c r="B89" s="40">
        <f t="shared" ref="B89:D93" si="8">SUM(B7,B18,B29,B40,B51,B62,B73)</f>
        <v>49141.304028000013</v>
      </c>
      <c r="C89" s="40">
        <f t="shared" si="8"/>
        <v>32413.597108400008</v>
      </c>
      <c r="D89" s="40">
        <f t="shared" si="8"/>
        <v>16727.706919600001</v>
      </c>
      <c r="F89" s="40">
        <f t="shared" ref="F89:H92" si="9">SUM(F7,F18,F29,F40,F51,F62,F73)</f>
        <v>52089.782269679992</v>
      </c>
      <c r="G89" s="40">
        <f t="shared" si="9"/>
        <v>34358.412934904001</v>
      </c>
      <c r="H89" s="40">
        <f t="shared" si="9"/>
        <v>17731.369334775998</v>
      </c>
    </row>
    <row r="90" spans="1:16" x14ac:dyDescent="0.25">
      <c r="A90" s="39" t="s">
        <v>161</v>
      </c>
      <c r="B90" s="40">
        <f t="shared" si="8"/>
        <v>26794.795139999998</v>
      </c>
      <c r="C90" s="40">
        <f t="shared" si="8"/>
        <v>17673.843042000004</v>
      </c>
      <c r="D90" s="40">
        <f t="shared" si="8"/>
        <v>9120.9520980000016</v>
      </c>
      <c r="F90" s="40">
        <f t="shared" si="9"/>
        <v>28903.995865680001</v>
      </c>
      <c r="G90" s="40">
        <f t="shared" si="9"/>
        <v>18734.273624519999</v>
      </c>
      <c r="H90" s="40">
        <f t="shared" si="9"/>
        <v>10169.72224116</v>
      </c>
    </row>
    <row r="91" spans="1:16" x14ac:dyDescent="0.25">
      <c r="A91" s="39" t="s">
        <v>256</v>
      </c>
      <c r="B91" s="40">
        <f t="shared" si="8"/>
        <v>105479.274</v>
      </c>
      <c r="C91" s="40">
        <f t="shared" si="8"/>
        <v>68119.660950000005</v>
      </c>
      <c r="D91" s="40">
        <f t="shared" si="8"/>
        <v>37359.613050000007</v>
      </c>
      <c r="F91" s="40">
        <f t="shared" si="9"/>
        <v>105479.274</v>
      </c>
      <c r="G91" s="40">
        <f t="shared" si="9"/>
        <v>68119.660950000005</v>
      </c>
      <c r="H91" s="40">
        <f t="shared" si="9"/>
        <v>37359.613050000007</v>
      </c>
    </row>
    <row r="92" spans="1:16" x14ac:dyDescent="0.25">
      <c r="A92" s="39" t="s">
        <v>257</v>
      </c>
      <c r="B92" s="40">
        <f t="shared" si="8"/>
        <v>2884.9599999999996</v>
      </c>
      <c r="C92" s="40">
        <f t="shared" si="8"/>
        <v>1959.1260000000002</v>
      </c>
      <c r="D92" s="40">
        <f t="shared" si="8"/>
        <v>925.83400000000006</v>
      </c>
      <c r="F92" s="40">
        <f t="shared" si="9"/>
        <v>2884.9599999999996</v>
      </c>
      <c r="G92" s="40">
        <f t="shared" si="9"/>
        <v>1959.1260000000002</v>
      </c>
      <c r="H92" s="40">
        <f t="shared" si="9"/>
        <v>925.83400000000006</v>
      </c>
    </row>
    <row r="93" spans="1:16" x14ac:dyDescent="0.25">
      <c r="A93" s="39" t="s">
        <v>258</v>
      </c>
      <c r="B93" s="40">
        <f t="shared" si="8"/>
        <v>0</v>
      </c>
      <c r="C93" s="40">
        <f t="shared" si="8"/>
        <v>0</v>
      </c>
      <c r="D93" s="40">
        <f t="shared" si="8"/>
        <v>0</v>
      </c>
      <c r="F93" s="40">
        <v>26500</v>
      </c>
      <c r="G93" s="40">
        <f>F93*G85</f>
        <v>17490</v>
      </c>
      <c r="H93" s="40">
        <f>F93*H85</f>
        <v>9010</v>
      </c>
    </row>
    <row r="94" spans="1:16" s="1" customFormat="1" x14ac:dyDescent="0.25">
      <c r="A94" s="46" t="s">
        <v>259</v>
      </c>
      <c r="B94" s="47">
        <f>SUM(B88:B93)</f>
        <v>534559.09316799999</v>
      </c>
      <c r="C94" s="47">
        <f>SUM(C88:C93)</f>
        <v>351196.85510040005</v>
      </c>
      <c r="D94" s="47">
        <f>SUM(D88:D93)</f>
        <v>183362.2380676</v>
      </c>
      <c r="E94" s="55"/>
      <c r="F94" s="47">
        <f>SUM(F88:F93)</f>
        <v>587132.29773535999</v>
      </c>
      <c r="G94" s="47">
        <f>SUM(G88:G93)</f>
        <v>385553.93918942392</v>
      </c>
      <c r="H94" s="47">
        <f>SUM(H88:H93)</f>
        <v>201578.358545936</v>
      </c>
      <c r="K94" s="4"/>
      <c r="L94" s="4"/>
      <c r="M94" s="4"/>
      <c r="N94" s="4"/>
      <c r="O94" s="4"/>
      <c r="P94" s="4"/>
    </row>
  </sheetData>
  <mergeCells count="4">
    <mergeCell ref="B84:D84"/>
    <mergeCell ref="F84:H84"/>
    <mergeCell ref="A1:H1"/>
    <mergeCell ref="A2:C2"/>
  </mergeCells>
  <pageMargins left="0.7" right="0.7" top="0.75" bottom="0.75" header="0.3" footer="0.3"/>
  <pageSetup scale="80" fitToHeight="0" orientation="portrait" r:id="rId1"/>
  <ignoredErrors>
    <ignoredError sqref="D7 D7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1628-301A-4849-A140-AF95A3EA8FC7}">
  <sheetPr>
    <pageSetUpPr fitToPage="1"/>
  </sheetPr>
  <dimension ref="A1:F41"/>
  <sheetViews>
    <sheetView topLeftCell="A9" zoomScale="110" zoomScaleNormal="110" workbookViewId="0">
      <selection activeCell="A25" sqref="A25:F31"/>
    </sheetView>
  </sheetViews>
  <sheetFormatPr defaultRowHeight="15" x14ac:dyDescent="0.25"/>
  <cols>
    <col min="1" max="1" width="57.28515625" bestFit="1" customWidth="1"/>
    <col min="2" max="2" width="17.140625" bestFit="1" customWidth="1"/>
    <col min="4" max="4" width="17.85546875" style="2" bestFit="1" customWidth="1"/>
    <col min="6" max="6" width="17.140625" bestFit="1" customWidth="1"/>
  </cols>
  <sheetData>
    <row r="1" spans="1:6" ht="30" x14ac:dyDescent="0.4">
      <c r="A1" s="85" t="s">
        <v>270</v>
      </c>
      <c r="B1" s="86"/>
      <c r="C1" s="86"/>
      <c r="D1" s="86"/>
      <c r="E1" s="86"/>
      <c r="F1" s="87"/>
    </row>
    <row r="2" spans="1:6" ht="30" x14ac:dyDescent="0.4">
      <c r="A2" s="88" t="s">
        <v>308</v>
      </c>
      <c r="B2" s="89"/>
      <c r="C2" s="89"/>
      <c r="D2" s="89"/>
      <c r="E2" s="89"/>
      <c r="F2" s="90"/>
    </row>
    <row r="3" spans="1:6" ht="68.45" customHeight="1" x14ac:dyDescent="0.25">
      <c r="A3" s="91" t="s">
        <v>311</v>
      </c>
      <c r="B3" s="92"/>
      <c r="C3" s="92"/>
      <c r="D3" s="92"/>
      <c r="E3" s="92"/>
      <c r="F3" s="93"/>
    </row>
    <row r="4" spans="1:6" x14ac:dyDescent="0.25">
      <c r="A4" s="64"/>
      <c r="B4" s="56"/>
      <c r="C4" s="56"/>
      <c r="D4" s="57"/>
      <c r="E4" s="56"/>
      <c r="F4" s="65"/>
    </row>
    <row r="5" spans="1:6" ht="18" x14ac:dyDescent="0.25">
      <c r="A5" s="66" t="s">
        <v>271</v>
      </c>
      <c r="B5" s="74">
        <f>REVENUE!G8</f>
        <v>3.5777000000000001</v>
      </c>
      <c r="C5" s="56"/>
      <c r="D5" s="57"/>
      <c r="E5" s="56"/>
      <c r="F5" s="65"/>
    </row>
    <row r="6" spans="1:6" ht="18" x14ac:dyDescent="0.25">
      <c r="A6" s="69"/>
      <c r="B6" s="75"/>
      <c r="C6" s="56"/>
      <c r="D6" s="57"/>
      <c r="E6" s="56"/>
      <c r="F6" s="65"/>
    </row>
    <row r="7" spans="1:6" ht="18" x14ac:dyDescent="0.25">
      <c r="A7" s="64"/>
      <c r="B7" s="62" t="s">
        <v>272</v>
      </c>
      <c r="C7" s="56"/>
      <c r="D7" s="63" t="s">
        <v>273</v>
      </c>
      <c r="E7" s="56"/>
      <c r="F7" s="67" t="s">
        <v>274</v>
      </c>
    </row>
    <row r="8" spans="1:6" ht="18" x14ac:dyDescent="0.25">
      <c r="A8" s="68" t="s">
        <v>275</v>
      </c>
      <c r="B8" s="62" t="s">
        <v>276</v>
      </c>
      <c r="C8" s="56"/>
      <c r="D8" s="63" t="s">
        <v>276</v>
      </c>
      <c r="E8" s="56"/>
      <c r="F8" s="67" t="s">
        <v>277</v>
      </c>
    </row>
    <row r="9" spans="1:6" ht="18" x14ac:dyDescent="0.25">
      <c r="A9" s="69" t="s">
        <v>1</v>
      </c>
      <c r="B9" s="58">
        <f>REVENUE!E3</f>
        <v>558137.03847789997</v>
      </c>
      <c r="C9" s="59"/>
      <c r="D9" s="58">
        <v>0</v>
      </c>
      <c r="E9" s="59"/>
      <c r="F9" s="70">
        <f>B9+D9</f>
        <v>558137.03847789997</v>
      </c>
    </row>
    <row r="10" spans="1:6" ht="18" x14ac:dyDescent="0.25">
      <c r="A10" s="71" t="s">
        <v>5</v>
      </c>
      <c r="B10" s="60">
        <f>REVENUE!E6</f>
        <v>281900</v>
      </c>
      <c r="C10" s="61"/>
      <c r="D10" s="60">
        <f>WATER!E3</f>
        <v>0</v>
      </c>
      <c r="E10" s="61"/>
      <c r="F10" s="72">
        <f t="shared" ref="F10:F16" si="0">B10+D10</f>
        <v>281900</v>
      </c>
    </row>
    <row r="11" spans="1:6" ht="18" x14ac:dyDescent="0.25">
      <c r="A11" s="71" t="s">
        <v>278</v>
      </c>
      <c r="B11" s="60">
        <f>REVENUE!E28</f>
        <v>1500</v>
      </c>
      <c r="C11" s="61"/>
      <c r="D11" s="60">
        <f>WATER!E5</f>
        <v>605500</v>
      </c>
      <c r="E11" s="61"/>
      <c r="F11" s="72">
        <f t="shared" si="0"/>
        <v>607000</v>
      </c>
    </row>
    <row r="12" spans="1:6" ht="18" x14ac:dyDescent="0.25">
      <c r="A12" s="71" t="s">
        <v>178</v>
      </c>
      <c r="B12" s="60">
        <f>REVENUE!E32</f>
        <v>1218350</v>
      </c>
      <c r="C12" s="61"/>
      <c r="D12" s="60">
        <f>WATER!E14</f>
        <v>2600000</v>
      </c>
      <c r="E12" s="61"/>
      <c r="F12" s="72">
        <f t="shared" si="0"/>
        <v>3818350</v>
      </c>
    </row>
    <row r="13" spans="1:6" ht="18" x14ac:dyDescent="0.25">
      <c r="A13" s="71" t="s">
        <v>36</v>
      </c>
      <c r="B13" s="60">
        <f>REVENUE!E46</f>
        <v>0</v>
      </c>
      <c r="C13" s="61"/>
      <c r="D13" s="60">
        <f>WATER!E19</f>
        <v>0</v>
      </c>
      <c r="E13" s="61"/>
      <c r="F13" s="72">
        <f t="shared" si="0"/>
        <v>0</v>
      </c>
    </row>
    <row r="14" spans="1:6" ht="18" x14ac:dyDescent="0.25">
      <c r="A14" s="71" t="s">
        <v>37</v>
      </c>
      <c r="B14" s="60">
        <f>REVENUE!E48</f>
        <v>34400</v>
      </c>
      <c r="C14" s="61"/>
      <c r="D14" s="60">
        <f>WATER!E21</f>
        <v>4000</v>
      </c>
      <c r="E14" s="61"/>
      <c r="F14" s="72">
        <f t="shared" si="0"/>
        <v>38400</v>
      </c>
    </row>
    <row r="15" spans="1:6" ht="18" x14ac:dyDescent="0.25">
      <c r="A15" s="71" t="s">
        <v>53</v>
      </c>
      <c r="B15" s="60">
        <f>REVENUE!E71</f>
        <v>10000</v>
      </c>
      <c r="C15" s="61"/>
      <c r="D15" s="60">
        <f>WATER!E29</f>
        <v>0</v>
      </c>
      <c r="E15" s="61"/>
      <c r="F15" s="72">
        <f t="shared" si="0"/>
        <v>10000</v>
      </c>
    </row>
    <row r="16" spans="1:6" ht="18" x14ac:dyDescent="0.25">
      <c r="A16" s="71" t="s">
        <v>59</v>
      </c>
      <c r="B16" s="60">
        <f>REVENUE!E79</f>
        <v>0</v>
      </c>
      <c r="C16" s="61"/>
      <c r="D16" s="60">
        <f>WATER!E31</f>
        <v>0</v>
      </c>
      <c r="E16" s="61"/>
      <c r="F16" s="72">
        <f t="shared" si="0"/>
        <v>0</v>
      </c>
    </row>
    <row r="17" spans="1:6" ht="18" x14ac:dyDescent="0.25">
      <c r="A17" s="71"/>
      <c r="B17" s="61"/>
      <c r="C17" s="61"/>
      <c r="D17" s="60"/>
      <c r="E17" s="61"/>
      <c r="F17" s="73"/>
    </row>
    <row r="18" spans="1:6" ht="18" x14ac:dyDescent="0.25">
      <c r="A18" s="71" t="s">
        <v>279</v>
      </c>
      <c r="B18" s="60">
        <f>SUM(B9:B16)</f>
        <v>2104287.0384779</v>
      </c>
      <c r="C18" s="61"/>
      <c r="D18" s="60">
        <f>SUM(D9:D16)</f>
        <v>3209500</v>
      </c>
      <c r="E18" s="61"/>
      <c r="F18" s="72">
        <f>B18+D18</f>
        <v>5313787.0384778995</v>
      </c>
    </row>
    <row r="19" spans="1:6" ht="18" x14ac:dyDescent="0.25">
      <c r="A19" s="71"/>
      <c r="B19" s="61"/>
      <c r="C19" s="61"/>
      <c r="D19" s="60"/>
      <c r="E19" s="61"/>
      <c r="F19" s="73"/>
    </row>
    <row r="20" spans="1:6" ht="18" x14ac:dyDescent="0.25">
      <c r="A20" s="71" t="s">
        <v>280</v>
      </c>
      <c r="B20" s="60">
        <f>REVENUE!E83</f>
        <v>3156700</v>
      </c>
      <c r="C20" s="61"/>
      <c r="D20" s="60">
        <f>WATER!E35</f>
        <v>1195700</v>
      </c>
      <c r="E20" s="61"/>
      <c r="F20" s="72">
        <f>B20+D20</f>
        <v>4352400</v>
      </c>
    </row>
    <row r="21" spans="1:6" ht="18" x14ac:dyDescent="0.25">
      <c r="A21" s="71"/>
      <c r="B21" s="61"/>
      <c r="C21" s="61"/>
      <c r="D21" s="60"/>
      <c r="E21" s="61"/>
      <c r="F21" s="73"/>
    </row>
    <row r="22" spans="1:6" ht="18" x14ac:dyDescent="0.25">
      <c r="A22" s="69" t="s">
        <v>281</v>
      </c>
      <c r="B22" s="58">
        <f>B18+B20</f>
        <v>5260987.0384778995</v>
      </c>
      <c r="C22" s="59"/>
      <c r="D22" s="58">
        <f>D18+D20</f>
        <v>4405200</v>
      </c>
      <c r="E22" s="59"/>
      <c r="F22" s="70">
        <f>B22+D22</f>
        <v>9666187.0384778995</v>
      </c>
    </row>
    <row r="23" spans="1:6" ht="18" x14ac:dyDescent="0.25">
      <c r="A23" s="64"/>
      <c r="B23" s="61"/>
      <c r="C23" s="61"/>
      <c r="D23" s="60"/>
      <c r="E23" s="61"/>
      <c r="F23" s="73"/>
    </row>
    <row r="24" spans="1:6" ht="18" x14ac:dyDescent="0.25">
      <c r="A24" s="68" t="s">
        <v>282</v>
      </c>
      <c r="B24" s="61"/>
      <c r="C24" s="61"/>
      <c r="D24" s="60"/>
      <c r="E24" s="61"/>
      <c r="F24" s="73"/>
    </row>
    <row r="25" spans="1:6" ht="18" x14ac:dyDescent="0.25">
      <c r="A25" s="71" t="s">
        <v>74</v>
      </c>
      <c r="B25" s="60">
        <f>EXPENDITURES!E3</f>
        <v>1297650</v>
      </c>
      <c r="C25" s="61"/>
      <c r="D25" s="60">
        <f>WATER!E58</f>
        <v>3001650</v>
      </c>
      <c r="E25" s="61"/>
      <c r="F25" s="72">
        <f>B25+D25</f>
        <v>4299300</v>
      </c>
    </row>
    <row r="26" spans="1:6" ht="18" x14ac:dyDescent="0.25">
      <c r="A26" s="71" t="s">
        <v>126</v>
      </c>
      <c r="B26" s="60">
        <f>EXPENDITURES!E66</f>
        <v>198500</v>
      </c>
      <c r="C26" s="61"/>
      <c r="D26" s="60">
        <f>WATER!E105</f>
        <v>2500</v>
      </c>
      <c r="E26" s="61"/>
      <c r="F26" s="72">
        <f t="shared" ref="F26:F31" si="1">B26+D26</f>
        <v>201000</v>
      </c>
    </row>
    <row r="27" spans="1:6" ht="18" x14ac:dyDescent="0.25">
      <c r="A27" s="71" t="s">
        <v>131</v>
      </c>
      <c r="B27" s="60">
        <f>EXPENDITURES!E72</f>
        <v>67000</v>
      </c>
      <c r="C27" s="61"/>
      <c r="D27" s="60">
        <f>WATER!E109</f>
        <v>0</v>
      </c>
      <c r="E27" s="61"/>
      <c r="F27" s="72">
        <f t="shared" si="1"/>
        <v>67000</v>
      </c>
    </row>
    <row r="28" spans="1:6" ht="18" x14ac:dyDescent="0.25">
      <c r="A28" s="71" t="s">
        <v>142</v>
      </c>
      <c r="B28" s="60">
        <f>EXPENDITURES!E86</f>
        <v>513000</v>
      </c>
      <c r="C28" s="61"/>
      <c r="D28" s="60">
        <f>WATER!E111</f>
        <v>0</v>
      </c>
      <c r="E28" s="61"/>
      <c r="F28" s="72">
        <f t="shared" si="1"/>
        <v>513000</v>
      </c>
    </row>
    <row r="29" spans="1:6" ht="18" x14ac:dyDescent="0.25">
      <c r="A29" s="71" t="s">
        <v>154</v>
      </c>
      <c r="B29" s="60">
        <f>EXPENDITURES!E100</f>
        <v>0</v>
      </c>
      <c r="C29" s="61"/>
      <c r="D29" s="60">
        <f>WATER!E113</f>
        <v>65000</v>
      </c>
      <c r="E29" s="61"/>
      <c r="F29" s="72">
        <f t="shared" si="1"/>
        <v>65000</v>
      </c>
    </row>
    <row r="30" spans="1:6" ht="18" x14ac:dyDescent="0.25">
      <c r="A30" s="71" t="s">
        <v>155</v>
      </c>
      <c r="B30" s="60">
        <f>EXPENDITURES!E102</f>
        <v>368300</v>
      </c>
      <c r="C30" s="61"/>
      <c r="D30" s="60">
        <f>WATER!E126</f>
        <v>192800</v>
      </c>
      <c r="E30" s="61"/>
      <c r="F30" s="72">
        <f>B30+D30</f>
        <v>561100</v>
      </c>
    </row>
    <row r="31" spans="1:6" ht="18" x14ac:dyDescent="0.25">
      <c r="A31" s="71" t="s">
        <v>168</v>
      </c>
      <c r="B31" s="60">
        <f>EXPENDITURES!E119</f>
        <v>20000</v>
      </c>
      <c r="C31" s="61"/>
      <c r="D31" s="60">
        <f>WATER!E140</f>
        <v>35000</v>
      </c>
      <c r="E31" s="61"/>
      <c r="F31" s="72">
        <f t="shared" si="1"/>
        <v>55000</v>
      </c>
    </row>
    <row r="32" spans="1:6" ht="18" x14ac:dyDescent="0.25">
      <c r="A32" s="71"/>
      <c r="B32" s="61"/>
      <c r="C32" s="61"/>
      <c r="D32" s="60"/>
      <c r="E32" s="61"/>
      <c r="F32" s="73"/>
    </row>
    <row r="33" spans="1:6" ht="18" x14ac:dyDescent="0.25">
      <c r="A33" s="71" t="s">
        <v>171</v>
      </c>
      <c r="B33" s="60">
        <f>SUM(B25:B31)</f>
        <v>2464450</v>
      </c>
      <c r="C33" s="61"/>
      <c r="D33" s="60">
        <f>SUM(D25:D31)</f>
        <v>3296950</v>
      </c>
      <c r="E33" s="61"/>
      <c r="F33" s="72">
        <f>B33+D33</f>
        <v>5761400</v>
      </c>
    </row>
    <row r="34" spans="1:6" ht="18" x14ac:dyDescent="0.25">
      <c r="A34" s="71"/>
      <c r="B34" s="61"/>
      <c r="C34" s="61"/>
      <c r="D34" s="60"/>
      <c r="E34" s="61"/>
      <c r="F34" s="73"/>
    </row>
    <row r="35" spans="1:6" ht="18" x14ac:dyDescent="0.25">
      <c r="A35" s="71" t="s">
        <v>280</v>
      </c>
      <c r="B35" s="60">
        <f>B22-B33</f>
        <v>2796537.0384778995</v>
      </c>
      <c r="C35" s="61"/>
      <c r="D35" s="60">
        <f>D22-D33</f>
        <v>1108250</v>
      </c>
      <c r="E35" s="61"/>
      <c r="F35" s="72">
        <f>B35+D35</f>
        <v>3904787.0384778995</v>
      </c>
    </row>
    <row r="36" spans="1:6" ht="18" x14ac:dyDescent="0.25">
      <c r="A36" s="71"/>
      <c r="B36" s="61"/>
      <c r="C36" s="61"/>
      <c r="D36" s="60"/>
      <c r="E36" s="61"/>
      <c r="F36" s="73"/>
    </row>
    <row r="37" spans="1:6" ht="18" x14ac:dyDescent="0.25">
      <c r="A37" s="69" t="s">
        <v>283</v>
      </c>
      <c r="B37" s="58">
        <f>B33+B35</f>
        <v>5260987.0384778995</v>
      </c>
      <c r="C37" s="59"/>
      <c r="D37" s="58">
        <f>D33+D35</f>
        <v>4405200</v>
      </c>
      <c r="E37" s="59"/>
      <c r="F37" s="70">
        <f>B37+D37</f>
        <v>9666187.0384778995</v>
      </c>
    </row>
    <row r="38" spans="1:6" ht="18" x14ac:dyDescent="0.25">
      <c r="A38" s="69" t="s">
        <v>284</v>
      </c>
      <c r="B38" s="61"/>
      <c r="C38" s="61"/>
      <c r="D38" s="60"/>
      <c r="E38" s="61"/>
      <c r="F38" s="73"/>
    </row>
    <row r="39" spans="1:6" ht="18" x14ac:dyDescent="0.25">
      <c r="A39" s="64"/>
      <c r="B39" s="61"/>
      <c r="C39" s="61"/>
      <c r="D39" s="60"/>
      <c r="E39" s="61"/>
      <c r="F39" s="73"/>
    </row>
    <row r="40" spans="1:6" ht="18" x14ac:dyDescent="0.25">
      <c r="A40" s="94" t="s">
        <v>285</v>
      </c>
      <c r="B40" s="95"/>
      <c r="C40" s="95"/>
      <c r="D40" s="95"/>
      <c r="E40" s="95"/>
      <c r="F40" s="96"/>
    </row>
    <row r="41" spans="1:6" ht="18.75" thickBot="1" x14ac:dyDescent="0.3">
      <c r="A41" s="97" t="s">
        <v>286</v>
      </c>
      <c r="B41" s="98"/>
      <c r="C41" s="98"/>
      <c r="D41" s="98"/>
      <c r="E41" s="98"/>
      <c r="F41" s="99"/>
    </row>
  </sheetData>
  <mergeCells count="5">
    <mergeCell ref="A1:F1"/>
    <mergeCell ref="A2:F2"/>
    <mergeCell ref="A3:F3"/>
    <mergeCell ref="A40:F40"/>
    <mergeCell ref="A41:F41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REVENUE</vt:lpstr>
      <vt:lpstr>EXPENDITURES</vt:lpstr>
      <vt:lpstr>WATER</vt:lpstr>
      <vt:lpstr>WAGES</vt:lpstr>
      <vt:lpstr>BUDGET AD</vt:lpstr>
      <vt:lpstr>WAGES!FICA</vt:lpstr>
      <vt:lpstr>WAGES!FRS</vt:lpstr>
      <vt:lpstr>EXPENDITURES!GF</vt:lpstr>
      <vt:lpstr>WAGES!Pay_Increase</vt:lpstr>
      <vt:lpstr>EXPENDITURES!Print_Area</vt:lpstr>
      <vt:lpstr>REVENUE!Print_Area</vt:lpstr>
      <vt:lpstr>WATER!Print_Area</vt:lpstr>
      <vt:lpstr>EXPENDITURES!WF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CityClerk</dc:creator>
  <cp:keywords/>
  <dc:description/>
  <cp:lastModifiedBy>Julia Fresne-Sandifer</cp:lastModifiedBy>
  <cp:revision/>
  <dcterms:created xsi:type="dcterms:W3CDTF">2023-07-26T17:08:45Z</dcterms:created>
  <dcterms:modified xsi:type="dcterms:W3CDTF">2025-09-25T16:55:40Z</dcterms:modified>
  <cp:category/>
  <cp:contentStatus/>
</cp:coreProperties>
</file>