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antonioflorida70ponm-my.sharepoint.com/personal/cityclerk_sanantonioflorida_org/Documents/Clerk Files/Budget/FY 22 23/"/>
    </mc:Choice>
  </mc:AlternateContent>
  <xr:revisionPtr revIDLastSave="0" documentId="8_{AF4B95BF-6B82-4786-8DCC-756337D00A05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Budget Summary" sheetId="7" r:id="rId1"/>
    <sheet name="Wages" sheetId="4" state="hidden" r:id="rId2"/>
    <sheet name="Revenue" sheetId="3" r:id="rId3"/>
    <sheet name="Expenditures" sheetId="1" r:id="rId4"/>
    <sheet name="Water Fund" sheetId="5" r:id="rId5"/>
    <sheet name="Emp Wages" sheetId="6" r:id="rId6"/>
  </sheets>
  <definedNames>
    <definedName name="_xlnm.Print_Area" localSheetId="3">Expenditures!$A$1:$L$130</definedName>
    <definedName name="_xlnm.Print_Area" localSheetId="2">Revenue!$A$4:$E$83</definedName>
    <definedName name="_xlnm.Print_Area" localSheetId="1">Wages!$A$1:$R$164</definedName>
    <definedName name="_xlnm.Print_Area" localSheetId="4">'Water Fund'!$A$1:$I$130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7" l="1"/>
  <c r="D30" i="7"/>
  <c r="B25" i="7"/>
  <c r="B27" i="7"/>
  <c r="B26" i="7"/>
  <c r="B20" i="7"/>
  <c r="B12" i="7"/>
  <c r="B10" i="7"/>
  <c r="I117" i="1" l="1"/>
  <c r="J117" i="1" s="1"/>
  <c r="L117" i="1"/>
  <c r="I115" i="5"/>
  <c r="I116" i="5"/>
  <c r="I117" i="5"/>
  <c r="I119" i="5"/>
  <c r="I120" i="5"/>
  <c r="I121" i="5"/>
  <c r="I122" i="5"/>
  <c r="L119" i="1"/>
  <c r="L120" i="1"/>
  <c r="H65" i="6" l="1"/>
  <c r="L46" i="1"/>
  <c r="G83" i="5"/>
  <c r="H83" i="5"/>
  <c r="D9" i="3"/>
  <c r="C85" i="3"/>
  <c r="L20" i="1"/>
  <c r="L18" i="1"/>
  <c r="L28" i="1"/>
  <c r="I32" i="5" s="1"/>
  <c r="I26" i="5" s="1"/>
  <c r="L24" i="1"/>
  <c r="I21" i="5" s="1"/>
  <c r="L26" i="1"/>
  <c r="I19" i="5" s="1"/>
  <c r="L22" i="1"/>
  <c r="I15" i="5" s="1"/>
  <c r="I13" i="5"/>
  <c r="I12" i="5"/>
  <c r="J96" i="6"/>
  <c r="I96" i="6"/>
  <c r="H96" i="6"/>
  <c r="J95" i="6"/>
  <c r="I95" i="6"/>
  <c r="H95" i="6"/>
  <c r="I10" i="6"/>
  <c r="J10" i="6"/>
  <c r="I11" i="6"/>
  <c r="J11" i="6"/>
  <c r="I22" i="6"/>
  <c r="J22" i="6"/>
  <c r="I23" i="6"/>
  <c r="J23" i="6"/>
  <c r="I34" i="6"/>
  <c r="J34" i="6"/>
  <c r="I35" i="6"/>
  <c r="J35" i="6"/>
  <c r="I46" i="6"/>
  <c r="J46" i="6"/>
  <c r="I47" i="6"/>
  <c r="J47" i="6"/>
  <c r="I58" i="6"/>
  <c r="J58" i="6"/>
  <c r="I59" i="6"/>
  <c r="J59" i="6"/>
  <c r="I70" i="6"/>
  <c r="J70" i="6"/>
  <c r="I71" i="6"/>
  <c r="J71" i="6"/>
  <c r="J78" i="6"/>
  <c r="J79" i="6"/>
  <c r="J82" i="6"/>
  <c r="J83" i="6"/>
  <c r="I79" i="6"/>
  <c r="I82" i="6"/>
  <c r="I83" i="6"/>
  <c r="I78" i="6"/>
  <c r="H71" i="6"/>
  <c r="H70" i="6"/>
  <c r="H59" i="6"/>
  <c r="H58" i="6"/>
  <c r="B66" i="6"/>
  <c r="B54" i="6"/>
  <c r="B42" i="6"/>
  <c r="B30" i="6"/>
  <c r="B18" i="6"/>
  <c r="B80" i="6"/>
  <c r="B81" i="6"/>
  <c r="B9" i="6"/>
  <c r="B8" i="6"/>
  <c r="B7" i="6"/>
  <c r="R9" i="6"/>
  <c r="B59" i="6" s="1"/>
  <c r="N9" i="6"/>
  <c r="B23" i="6" s="1"/>
  <c r="H23" i="6" s="1"/>
  <c r="M9" i="6"/>
  <c r="B11" i="6" s="1"/>
  <c r="H11" i="6" s="1"/>
  <c r="O9" i="6"/>
  <c r="B35" i="6" s="1"/>
  <c r="H35" i="6" s="1"/>
  <c r="P9" i="6"/>
  <c r="B47" i="6" s="1"/>
  <c r="H47" i="6" s="1"/>
  <c r="Q9" i="6"/>
  <c r="B71" i="6" s="1"/>
  <c r="E26" i="5"/>
  <c r="E21" i="5"/>
  <c r="E19" i="5"/>
  <c r="E15" i="5"/>
  <c r="E10" i="5"/>
  <c r="E8" i="5"/>
  <c r="C25" i="5"/>
  <c r="E45" i="5"/>
  <c r="E46" i="5"/>
  <c r="E47" i="5"/>
  <c r="E48" i="5"/>
  <c r="E49" i="5"/>
  <c r="E50" i="5"/>
  <c r="E44" i="5"/>
  <c r="E52" i="5"/>
  <c r="C51" i="5"/>
  <c r="C39" i="5"/>
  <c r="D39" i="5"/>
  <c r="C43" i="5"/>
  <c r="D43" i="5"/>
  <c r="H46" i="3"/>
  <c r="H51" i="5"/>
  <c r="H53" i="5"/>
  <c r="H22" i="5"/>
  <c r="H24" i="5"/>
  <c r="H20" i="5"/>
  <c r="H18" i="5"/>
  <c r="H14" i="5"/>
  <c r="H11" i="5"/>
  <c r="H9" i="5"/>
  <c r="L23" i="1" l="1"/>
  <c r="H7" i="5"/>
  <c r="H3" i="5"/>
  <c r="D124" i="5"/>
  <c r="H127" i="5"/>
  <c r="H118" i="5"/>
  <c r="H114" i="5"/>
  <c r="H123" i="5" s="1"/>
  <c r="H124" i="5" s="1"/>
  <c r="H104" i="5"/>
  <c r="H102" i="5"/>
  <c r="H99" i="5"/>
  <c r="H95" i="5"/>
  <c r="I95" i="5"/>
  <c r="H90" i="5"/>
  <c r="H81" i="5"/>
  <c r="H78" i="5"/>
  <c r="H76" i="5"/>
  <c r="H74" i="5"/>
  <c r="H72" i="5"/>
  <c r="H70" i="5"/>
  <c r="H68" i="5"/>
  <c r="H62" i="5"/>
  <c r="H60" i="5"/>
  <c r="H57" i="5"/>
  <c r="H56" i="5" l="1"/>
  <c r="C81" i="5" l="1"/>
  <c r="C14" i="5"/>
  <c r="C7" i="5"/>
  <c r="C9" i="5"/>
  <c r="K3" i="5" l="1"/>
  <c r="F5" i="6" l="1"/>
  <c r="F17" i="6"/>
  <c r="H17" i="6" s="1"/>
  <c r="F29" i="6"/>
  <c r="H29" i="6" s="1"/>
  <c r="F41" i="6"/>
  <c r="H41" i="6" s="1"/>
  <c r="N6" i="6"/>
  <c r="N7" i="6" s="1"/>
  <c r="N8" i="6" s="1"/>
  <c r="B22" i="6" s="1"/>
  <c r="H22" i="6" s="1"/>
  <c r="O6" i="6"/>
  <c r="O7" i="6" s="1"/>
  <c r="O8" i="6" s="1"/>
  <c r="B34" i="6" s="1"/>
  <c r="H34" i="6" s="1"/>
  <c r="P6" i="6"/>
  <c r="P7" i="6" s="1"/>
  <c r="P8" i="6" s="1"/>
  <c r="B46" i="6" s="1"/>
  <c r="H46" i="6" s="1"/>
  <c r="Q6" i="6"/>
  <c r="Q7" i="6" s="1"/>
  <c r="Q8" i="6" s="1"/>
  <c r="B70" i="6" s="1"/>
  <c r="R6" i="6"/>
  <c r="R7" i="6" s="1"/>
  <c r="R8" i="6" s="1"/>
  <c r="B58" i="6" s="1"/>
  <c r="M6" i="6"/>
  <c r="M7" i="6" s="1"/>
  <c r="M8" i="6" s="1"/>
  <c r="B10" i="6" s="1"/>
  <c r="H10" i="6" s="1"/>
  <c r="I51" i="1"/>
  <c r="I49" i="1"/>
  <c r="I78" i="1"/>
  <c r="I26" i="1"/>
  <c r="I25" i="1" s="1"/>
  <c r="I24" i="1"/>
  <c r="I23" i="1" s="1"/>
  <c r="I22" i="1"/>
  <c r="J79" i="1"/>
  <c r="H79" i="1"/>
  <c r="I14" i="1"/>
  <c r="I33" i="1"/>
  <c r="D10" i="3"/>
  <c r="I118" i="1"/>
  <c r="H25" i="1"/>
  <c r="K25" i="1"/>
  <c r="J25" i="1"/>
  <c r="J41" i="6" l="1"/>
  <c r="I41" i="6"/>
  <c r="J29" i="6"/>
  <c r="I29" i="6"/>
  <c r="J17" i="6"/>
  <c r="I17" i="6"/>
  <c r="H45" i="6"/>
  <c r="H43" i="6"/>
  <c r="H44" i="6"/>
  <c r="H31" i="6"/>
  <c r="H33" i="6"/>
  <c r="H32" i="6"/>
  <c r="H19" i="6"/>
  <c r="H20" i="6"/>
  <c r="H21" i="6"/>
  <c r="M4" i="3"/>
  <c r="D14" i="7"/>
  <c r="B13" i="7"/>
  <c r="E23" i="5"/>
  <c r="E22" i="5" s="1"/>
  <c r="C20" i="5"/>
  <c r="E13" i="5"/>
  <c r="E12" i="5"/>
  <c r="C18" i="5"/>
  <c r="H10" i="3"/>
  <c r="H8" i="3"/>
  <c r="G8" i="3"/>
  <c r="F8" i="3"/>
  <c r="F7" i="3" s="1"/>
  <c r="D8" i="3"/>
  <c r="I8" i="3" s="1"/>
  <c r="E7" i="3"/>
  <c r="G7" i="3" s="1"/>
  <c r="C7" i="3"/>
  <c r="H7" i="3" l="1"/>
  <c r="B9" i="7"/>
  <c r="I20" i="6"/>
  <c r="J20" i="6"/>
  <c r="I19" i="6"/>
  <c r="J19" i="6"/>
  <c r="I32" i="6"/>
  <c r="J32" i="6"/>
  <c r="J44" i="6"/>
  <c r="I44" i="6"/>
  <c r="J43" i="6"/>
  <c r="I43" i="6"/>
  <c r="I45" i="6"/>
  <c r="J45" i="6"/>
  <c r="I31" i="6"/>
  <c r="J31" i="6"/>
  <c r="J21" i="6"/>
  <c r="I21" i="6"/>
  <c r="J33" i="6"/>
  <c r="I33" i="6"/>
  <c r="D7" i="3"/>
  <c r="E20" i="5"/>
  <c r="D66" i="5"/>
  <c r="B66" i="5"/>
  <c r="E69" i="5"/>
  <c r="E65" i="5"/>
  <c r="D65" i="5"/>
  <c r="B65" i="5"/>
  <c r="G5" i="6"/>
  <c r="D5" i="6"/>
  <c r="C5" i="6"/>
  <c r="L93" i="1"/>
  <c r="I59" i="1"/>
  <c r="L56" i="1"/>
  <c r="L29" i="1"/>
  <c r="L118" i="1"/>
  <c r="J118" i="1"/>
  <c r="I55" i="1"/>
  <c r="L127" i="1"/>
  <c r="L126" i="1"/>
  <c r="L125" i="1"/>
  <c r="L124" i="1"/>
  <c r="L123" i="1"/>
  <c r="L122" i="1"/>
  <c r="J21" i="1"/>
  <c r="J17" i="1"/>
  <c r="L116" i="1" l="1"/>
  <c r="L121" i="1"/>
  <c r="L25" i="1"/>
  <c r="B17" i="6"/>
  <c r="D83" i="6"/>
  <c r="C83" i="6"/>
  <c r="D82" i="6"/>
  <c r="C82" i="6"/>
  <c r="D81" i="6"/>
  <c r="D79" i="6"/>
  <c r="C79" i="6"/>
  <c r="D78" i="6"/>
  <c r="C78" i="6"/>
  <c r="D77" i="6"/>
  <c r="C77" i="6"/>
  <c r="D71" i="6"/>
  <c r="C70" i="6"/>
  <c r="D59" i="6"/>
  <c r="C58" i="6"/>
  <c r="D47" i="6"/>
  <c r="C46" i="6"/>
  <c r="D35" i="6"/>
  <c r="C34" i="6"/>
  <c r="C22" i="6"/>
  <c r="B21" i="6" l="1"/>
  <c r="D70" i="6"/>
  <c r="D46" i="6"/>
  <c r="D34" i="6"/>
  <c r="D22" i="6"/>
  <c r="B84" i="6"/>
  <c r="D58" i="6"/>
  <c r="C81" i="6"/>
  <c r="C23" i="6"/>
  <c r="C35" i="6"/>
  <c r="C47" i="6"/>
  <c r="C59" i="6"/>
  <c r="C71" i="6"/>
  <c r="C80" i="6"/>
  <c r="D23" i="6"/>
  <c r="D80" i="6"/>
  <c r="D84" i="6" s="1"/>
  <c r="C84" i="6" l="1"/>
  <c r="D6" i="6" l="1"/>
  <c r="C6" i="6"/>
  <c r="B96" i="6"/>
  <c r="B124" i="6" s="1"/>
  <c r="B95" i="6"/>
  <c r="D10" i="6" l="1"/>
  <c r="D95" i="6" s="1"/>
  <c r="C10" i="6"/>
  <c r="C95" i="6" s="1"/>
  <c r="D11" i="6"/>
  <c r="D96" i="6" s="1"/>
  <c r="D124" i="6" s="1"/>
  <c r="C11" i="6"/>
  <c r="C96" i="6" s="1"/>
  <c r="C124" i="6" s="1"/>
  <c r="B123" i="6"/>
  <c r="B12" i="6"/>
  <c r="D7" i="6"/>
  <c r="C7" i="6"/>
  <c r="D8" i="6"/>
  <c r="C8" i="6"/>
  <c r="D9" i="6"/>
  <c r="C9" i="6"/>
  <c r="F77" i="6"/>
  <c r="G77" i="6" s="1"/>
  <c r="H77" i="6" s="1"/>
  <c r="F53" i="6"/>
  <c r="H53" i="6" s="1"/>
  <c r="H5" i="6"/>
  <c r="J5" i="6" l="1"/>
  <c r="H89" i="6"/>
  <c r="I5" i="6"/>
  <c r="H57" i="6"/>
  <c r="H56" i="6"/>
  <c r="J53" i="6"/>
  <c r="I53" i="6"/>
  <c r="H55" i="6"/>
  <c r="J65" i="6"/>
  <c r="H69" i="6"/>
  <c r="I65" i="6"/>
  <c r="H68" i="6"/>
  <c r="H67" i="6"/>
  <c r="J77" i="6"/>
  <c r="I77" i="6"/>
  <c r="H81" i="6"/>
  <c r="H80" i="6"/>
  <c r="H9" i="6"/>
  <c r="H8" i="6"/>
  <c r="H7" i="6"/>
  <c r="C12" i="6"/>
  <c r="D12" i="6"/>
  <c r="C123" i="6"/>
  <c r="D123" i="6"/>
  <c r="G17" i="6"/>
  <c r="H18" i="6" s="1"/>
  <c r="G53" i="6"/>
  <c r="H54" i="6" s="1"/>
  <c r="B53" i="6"/>
  <c r="H66" i="6"/>
  <c r="B65" i="6"/>
  <c r="G29" i="6"/>
  <c r="H30" i="6" s="1"/>
  <c r="B29" i="6"/>
  <c r="G41" i="6"/>
  <c r="H42" i="6" s="1"/>
  <c r="B41" i="6"/>
  <c r="H72" i="6" l="1"/>
  <c r="I42" i="6"/>
  <c r="I48" i="6" s="1"/>
  <c r="J42" i="6"/>
  <c r="J48" i="6" s="1"/>
  <c r="H48" i="6"/>
  <c r="I7" i="6"/>
  <c r="J7" i="6"/>
  <c r="H92" i="6"/>
  <c r="H93" i="6"/>
  <c r="I8" i="6"/>
  <c r="J8" i="6"/>
  <c r="J12" i="6" s="1"/>
  <c r="J55" i="6"/>
  <c r="I55" i="6"/>
  <c r="H94" i="6"/>
  <c r="I9" i="6"/>
  <c r="J9" i="6"/>
  <c r="H60" i="6"/>
  <c r="J80" i="6"/>
  <c r="I80" i="6"/>
  <c r="I56" i="6"/>
  <c r="J56" i="6"/>
  <c r="I30" i="6"/>
  <c r="I36" i="6" s="1"/>
  <c r="J30" i="6"/>
  <c r="J36" i="6" s="1"/>
  <c r="H36" i="6"/>
  <c r="I66" i="6"/>
  <c r="J66" i="6"/>
  <c r="J81" i="6"/>
  <c r="I81" i="6"/>
  <c r="J54" i="6"/>
  <c r="I54" i="6"/>
  <c r="I57" i="6"/>
  <c r="J57" i="6"/>
  <c r="I18" i="6"/>
  <c r="H90" i="6"/>
  <c r="H91" i="6" s="1"/>
  <c r="J18" i="6"/>
  <c r="H24" i="6"/>
  <c r="H12" i="6"/>
  <c r="I89" i="6"/>
  <c r="I69" i="6"/>
  <c r="J69" i="6"/>
  <c r="I67" i="6"/>
  <c r="J67" i="6"/>
  <c r="I68" i="6"/>
  <c r="J68" i="6"/>
  <c r="J89" i="6"/>
  <c r="I4" i="5" s="1"/>
  <c r="H84" i="6"/>
  <c r="B69" i="6"/>
  <c r="B68" i="6"/>
  <c r="B67" i="6"/>
  <c r="B55" i="6"/>
  <c r="B57" i="6"/>
  <c r="B56" i="6"/>
  <c r="B44" i="6"/>
  <c r="B43" i="6"/>
  <c r="B45" i="6"/>
  <c r="B32" i="6"/>
  <c r="B31" i="6"/>
  <c r="B33" i="6"/>
  <c r="B20" i="6"/>
  <c r="B19" i="6"/>
  <c r="B89" i="6"/>
  <c r="D41" i="6"/>
  <c r="C41" i="6"/>
  <c r="C66" i="6"/>
  <c r="D66" i="6"/>
  <c r="C18" i="6"/>
  <c r="D18" i="6"/>
  <c r="B90" i="6"/>
  <c r="B118" i="6" s="1"/>
  <c r="C30" i="6"/>
  <c r="D30" i="6"/>
  <c r="D65" i="6"/>
  <c r="C65" i="6"/>
  <c r="C54" i="6"/>
  <c r="D54" i="6"/>
  <c r="D17" i="6"/>
  <c r="C17" i="6"/>
  <c r="C42" i="6"/>
  <c r="D42" i="6"/>
  <c r="D29" i="6"/>
  <c r="C29" i="6"/>
  <c r="D53" i="6"/>
  <c r="C53" i="6"/>
  <c r="J84" i="6" l="1"/>
  <c r="I72" i="6"/>
  <c r="J72" i="6"/>
  <c r="I84" i="6"/>
  <c r="I60" i="6"/>
  <c r="I12" i="6"/>
  <c r="J60" i="6"/>
  <c r="I90" i="6"/>
  <c r="I91" i="6" s="1"/>
  <c r="L4" i="1" s="1"/>
  <c r="I24" i="6"/>
  <c r="J93" i="6"/>
  <c r="I10" i="5" s="1"/>
  <c r="I93" i="6"/>
  <c r="L16" i="1" s="1"/>
  <c r="J92" i="6"/>
  <c r="I8" i="5" s="1"/>
  <c r="H97" i="6"/>
  <c r="I92" i="6"/>
  <c r="L14" i="1" s="1"/>
  <c r="J94" i="6"/>
  <c r="J90" i="6"/>
  <c r="J24" i="6"/>
  <c r="I94" i="6"/>
  <c r="B72" i="6"/>
  <c r="B60" i="6"/>
  <c r="B48" i="6"/>
  <c r="B36" i="6"/>
  <c r="B24" i="6"/>
  <c r="B117" i="6"/>
  <c r="B91" i="6"/>
  <c r="B119" i="6" s="1"/>
  <c r="B93" i="6"/>
  <c r="B121" i="6" s="1"/>
  <c r="D20" i="6"/>
  <c r="C20" i="6"/>
  <c r="C68" i="6"/>
  <c r="D68" i="6"/>
  <c r="D90" i="6"/>
  <c r="D118" i="6" s="1"/>
  <c r="C57" i="6"/>
  <c r="D57" i="6"/>
  <c r="D55" i="6"/>
  <c r="C55" i="6"/>
  <c r="D89" i="6"/>
  <c r="D43" i="6"/>
  <c r="C43" i="6"/>
  <c r="D33" i="6"/>
  <c r="C33" i="6"/>
  <c r="C32" i="6"/>
  <c r="D32" i="6"/>
  <c r="B92" i="6"/>
  <c r="B120" i="6" s="1"/>
  <c r="C19" i="6"/>
  <c r="D19" i="6"/>
  <c r="D69" i="6"/>
  <c r="C69" i="6"/>
  <c r="D44" i="6"/>
  <c r="C44" i="6"/>
  <c r="D31" i="6"/>
  <c r="C31" i="6"/>
  <c r="C56" i="6"/>
  <c r="D56" i="6"/>
  <c r="C21" i="6"/>
  <c r="D21" i="6"/>
  <c r="B94" i="6"/>
  <c r="B122" i="6" s="1"/>
  <c r="C89" i="6"/>
  <c r="D67" i="6"/>
  <c r="C67" i="6"/>
  <c r="C90" i="6"/>
  <c r="C118" i="6" s="1"/>
  <c r="C45" i="6"/>
  <c r="D45" i="6"/>
  <c r="I97" i="6" l="1"/>
  <c r="J97" i="6"/>
  <c r="J91" i="6"/>
  <c r="I6" i="5"/>
  <c r="B97" i="6"/>
  <c r="B98" i="6" s="1"/>
  <c r="B126" i="6" s="1"/>
  <c r="C60" i="6"/>
  <c r="C36" i="6"/>
  <c r="C94" i="6"/>
  <c r="C122" i="6" s="1"/>
  <c r="D60" i="6"/>
  <c r="C72" i="6"/>
  <c r="C48" i="6"/>
  <c r="D72" i="6"/>
  <c r="D92" i="6"/>
  <c r="D120" i="6" s="1"/>
  <c r="D24" i="6"/>
  <c r="C24" i="6"/>
  <c r="D48" i="6"/>
  <c r="C92" i="6"/>
  <c r="D117" i="6"/>
  <c r="D91" i="6"/>
  <c r="D119" i="6" s="1"/>
  <c r="C93" i="6"/>
  <c r="C121" i="6" s="1"/>
  <c r="C117" i="6"/>
  <c r="C91" i="6"/>
  <c r="D94" i="6"/>
  <c r="D122" i="6" s="1"/>
  <c r="D36" i="6"/>
  <c r="D93" i="6"/>
  <c r="D121" i="6" s="1"/>
  <c r="B125" i="6" l="1"/>
  <c r="C120" i="6"/>
  <c r="C119" i="6"/>
  <c r="D97" i="6"/>
  <c r="D125" i="6" s="1"/>
  <c r="C97" i="6"/>
  <c r="C98" i="6" s="1"/>
  <c r="C126" i="6" s="1"/>
  <c r="D98" i="6" l="1"/>
  <c r="D126" i="6" s="1"/>
  <c r="C125" i="6"/>
  <c r="J4" i="3" l="1"/>
  <c r="L17" i="3"/>
  <c r="L12" i="3"/>
  <c r="K16" i="3"/>
  <c r="E55" i="3"/>
  <c r="E19" i="3"/>
  <c r="E85" i="3" s="1"/>
  <c r="D64" i="3" l="1"/>
  <c r="D63" i="3"/>
  <c r="D54" i="3"/>
  <c r="C38" i="3"/>
  <c r="D25" i="3"/>
  <c r="E92" i="5"/>
  <c r="E103" i="5"/>
  <c r="E102" i="5" s="1"/>
  <c r="E100" i="5"/>
  <c r="E101" i="5"/>
  <c r="C127" i="5"/>
  <c r="E91" i="5"/>
  <c r="E107" i="5"/>
  <c r="E40" i="5"/>
  <c r="D9" i="5"/>
  <c r="D11" i="5"/>
  <c r="D15" i="5"/>
  <c r="D14" i="5" s="1"/>
  <c r="D16" i="5"/>
  <c r="E16" i="5"/>
  <c r="F16" i="5" s="1"/>
  <c r="I16" i="5"/>
  <c r="E120" i="5"/>
  <c r="E119" i="5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06" i="1" l="1"/>
  <c r="I105" i="1" s="1"/>
  <c r="I46" i="1"/>
  <c r="I101" i="1"/>
  <c r="L96" i="1" l="1"/>
  <c r="J96" i="1"/>
  <c r="I98" i="1"/>
  <c r="H96" i="1"/>
  <c r="I92" i="1"/>
  <c r="L79" i="1"/>
  <c r="I79" i="1"/>
  <c r="I73" i="1"/>
  <c r="I72" i="1"/>
  <c r="I71" i="1"/>
  <c r="I70" i="1"/>
  <c r="I40" i="1"/>
  <c r="I16" i="1"/>
  <c r="I6" i="1"/>
  <c r="I5" i="1"/>
  <c r="I4" i="1"/>
  <c r="I96" i="1" l="1"/>
  <c r="I70" i="5" l="1"/>
  <c r="I63" i="1"/>
  <c r="E93" i="5" l="1"/>
  <c r="E80" i="5"/>
  <c r="E79" i="5"/>
  <c r="E38" i="5"/>
  <c r="I128" i="5" l="1"/>
  <c r="C118" i="5"/>
  <c r="C123" i="5" s="1"/>
  <c r="C114" i="5"/>
  <c r="C99" i="5"/>
  <c r="C124" i="5" l="1"/>
  <c r="C53" i="5"/>
  <c r="E25" i="5"/>
  <c r="P4" i="3" l="1"/>
  <c r="O4" i="3"/>
  <c r="N4" i="3"/>
  <c r="L4" i="3"/>
  <c r="K4" i="3"/>
  <c r="K96" i="3" l="1"/>
  <c r="I96" i="3"/>
  <c r="G96" i="3"/>
  <c r="D96" i="3"/>
  <c r="B96" i="3"/>
  <c r="E35" i="5" l="1"/>
  <c r="C130" i="5" l="1"/>
  <c r="D22" i="5"/>
  <c r="F22" i="5"/>
  <c r="D24" i="5"/>
  <c r="E24" i="5"/>
  <c r="F27" i="5"/>
  <c r="E31" i="5"/>
  <c r="E34" i="5"/>
  <c r="E37" i="5"/>
  <c r="F36" i="5" s="1"/>
  <c r="E42" i="5"/>
  <c r="E39" i="5" s="1"/>
  <c r="F39" i="5" s="1"/>
  <c r="D51" i="5"/>
  <c r="E51" i="5"/>
  <c r="F51" i="5" s="1"/>
  <c r="D53" i="5"/>
  <c r="E54" i="5"/>
  <c r="E53" i="5" s="1"/>
  <c r="D57" i="5"/>
  <c r="E57" i="5"/>
  <c r="F57" i="5" s="1"/>
  <c r="D60" i="5"/>
  <c r="E60" i="5"/>
  <c r="F60" i="5" s="1"/>
  <c r="D64" i="5"/>
  <c r="E64" i="5"/>
  <c r="D67" i="5"/>
  <c r="D68" i="5"/>
  <c r="E68" i="5"/>
  <c r="F68" i="5" s="1"/>
  <c r="D70" i="5"/>
  <c r="E70" i="5"/>
  <c r="F70" i="5" s="1"/>
  <c r="D72" i="5"/>
  <c r="E72" i="5"/>
  <c r="F72" i="5" s="1"/>
  <c r="D74" i="5"/>
  <c r="E74" i="5"/>
  <c r="F74" i="5"/>
  <c r="D76" i="5"/>
  <c r="E76" i="5"/>
  <c r="F76" i="5" s="1"/>
  <c r="D78" i="5"/>
  <c r="E78" i="5"/>
  <c r="F78" i="5" s="1"/>
  <c r="D81" i="5"/>
  <c r="E81" i="5"/>
  <c r="D90" i="5"/>
  <c r="E90" i="5"/>
  <c r="F90" i="5" s="1"/>
  <c r="D95" i="5"/>
  <c r="D99" i="5"/>
  <c r="E99" i="5"/>
  <c r="F99" i="5" s="1"/>
  <c r="D102" i="5"/>
  <c r="F102" i="5"/>
  <c r="D104" i="5"/>
  <c r="E106" i="5"/>
  <c r="E108" i="5"/>
  <c r="E110" i="5"/>
  <c r="D114" i="5"/>
  <c r="E114" i="5"/>
  <c r="F114" i="5" s="1"/>
  <c r="D118" i="5"/>
  <c r="E118" i="5"/>
  <c r="D127" i="5"/>
  <c r="E128" i="5"/>
  <c r="E127" i="5" s="1"/>
  <c r="H130" i="5"/>
  <c r="B22" i="5"/>
  <c r="B25" i="5"/>
  <c r="B24" i="5" s="1"/>
  <c r="B27" i="5"/>
  <c r="B32" i="5"/>
  <c r="B30" i="5" s="1"/>
  <c r="B35" i="5"/>
  <c r="B33" i="5" s="1"/>
  <c r="B38" i="5"/>
  <c r="B36" i="5" s="1"/>
  <c r="B39" i="5"/>
  <c r="B45" i="5"/>
  <c r="B43" i="5" s="1"/>
  <c r="B51" i="5"/>
  <c r="B54" i="5"/>
  <c r="B53" i="5" s="1"/>
  <c r="B57" i="5"/>
  <c r="B60" i="5"/>
  <c r="B64" i="5"/>
  <c r="B67" i="5"/>
  <c r="B68" i="5"/>
  <c r="B70" i="5"/>
  <c r="B72" i="5"/>
  <c r="B74" i="5"/>
  <c r="B76" i="5"/>
  <c r="B78" i="5"/>
  <c r="B81" i="5"/>
  <c r="B90" i="5"/>
  <c r="B95" i="5"/>
  <c r="B99" i="5"/>
  <c r="B102" i="5"/>
  <c r="B104" i="5"/>
  <c r="B114" i="5"/>
  <c r="B118" i="5"/>
  <c r="B123" i="5" s="1"/>
  <c r="B127" i="5"/>
  <c r="F118" i="5" l="1"/>
  <c r="E123" i="5"/>
  <c r="B62" i="5"/>
  <c r="D111" i="5"/>
  <c r="B111" i="5"/>
  <c r="B124" i="5" s="1"/>
  <c r="B130" i="5" s="1"/>
  <c r="B56" i="5"/>
  <c r="D123" i="5"/>
  <c r="E104" i="5"/>
  <c r="E96" i="5" s="1"/>
  <c r="E95" i="5" s="1"/>
  <c r="F95" i="5" s="1"/>
  <c r="E62" i="5"/>
  <c r="F62" i="5" s="1"/>
  <c r="D62" i="5"/>
  <c r="E56" i="5"/>
  <c r="F56" i="5" s="1"/>
  <c r="D56" i="5"/>
  <c r="D26" i="5"/>
  <c r="F26" i="5"/>
  <c r="F81" i="5"/>
  <c r="F53" i="5"/>
  <c r="F24" i="5"/>
  <c r="F127" i="5"/>
  <c r="E43" i="5"/>
  <c r="F43" i="5" s="1"/>
  <c r="F30" i="5"/>
  <c r="F123" i="5" l="1"/>
  <c r="D130" i="5"/>
  <c r="F104" i="5"/>
  <c r="E111" i="5"/>
  <c r="E124" i="5" s="1"/>
  <c r="I77" i="3"/>
  <c r="I81" i="3"/>
  <c r="I80" i="3"/>
  <c r="I79" i="3"/>
  <c r="I78" i="3"/>
  <c r="I75" i="3"/>
  <c r="I74" i="3"/>
  <c r="I73" i="3"/>
  <c r="I71" i="3"/>
  <c r="I70" i="3"/>
  <c r="I69" i="3"/>
  <c r="I68" i="3"/>
  <c r="I67" i="3"/>
  <c r="I61" i="3"/>
  <c r="I59" i="3"/>
  <c r="I54" i="3"/>
  <c r="I21" i="3"/>
  <c r="I20" i="3"/>
  <c r="I12" i="3"/>
  <c r="L16" i="3"/>
  <c r="J56" i="1"/>
  <c r="I56" i="1"/>
  <c r="H56" i="1"/>
  <c r="F111" i="5" l="1"/>
  <c r="F124" i="5" l="1"/>
  <c r="E130" i="5"/>
  <c r="E4" i="5"/>
  <c r="I108" i="1"/>
  <c r="I75" i="1"/>
  <c r="I53" i="1"/>
  <c r="I45" i="1"/>
  <c r="I43" i="1"/>
  <c r="I38" i="1"/>
  <c r="I37" i="1"/>
  <c r="I36" i="1"/>
  <c r="I35" i="1"/>
  <c r="I32" i="1"/>
  <c r="I31" i="1"/>
  <c r="I30" i="1"/>
  <c r="I21" i="1"/>
  <c r="I20" i="1"/>
  <c r="I18" i="1"/>
  <c r="H121" i="1"/>
  <c r="H116" i="1"/>
  <c r="H110" i="1"/>
  <c r="H105" i="1"/>
  <c r="H99" i="1"/>
  <c r="H93" i="1"/>
  <c r="H91" i="1"/>
  <c r="H89" i="1"/>
  <c r="H86" i="1"/>
  <c r="H82" i="1"/>
  <c r="H76" i="1"/>
  <c r="H74" i="1"/>
  <c r="H68" i="1"/>
  <c r="H66" i="1"/>
  <c r="H64" i="1"/>
  <c r="H60" i="1"/>
  <c r="H54" i="1"/>
  <c r="H52" i="1"/>
  <c r="H50" i="1"/>
  <c r="H48" i="1"/>
  <c r="H44" i="1"/>
  <c r="H42" i="1"/>
  <c r="H39" i="1"/>
  <c r="H29" i="1"/>
  <c r="H27" i="1"/>
  <c r="H23" i="1"/>
  <c r="H21" i="1"/>
  <c r="H17" i="1"/>
  <c r="H15" i="1"/>
  <c r="H13" i="1"/>
  <c r="H11" i="1"/>
  <c r="H10" i="1"/>
  <c r="H9" i="1"/>
  <c r="H8" i="1"/>
  <c r="I93" i="1"/>
  <c r="E2" i="1"/>
  <c r="E3" i="1"/>
  <c r="C4" i="1"/>
  <c r="C3" i="1" s="1"/>
  <c r="F4" i="1"/>
  <c r="F5" i="1"/>
  <c r="F6" i="1"/>
  <c r="F7" i="1"/>
  <c r="F8" i="1"/>
  <c r="F9" i="1"/>
  <c r="F10" i="1"/>
  <c r="F11" i="1"/>
  <c r="C13" i="1"/>
  <c r="E13" i="1"/>
  <c r="F14" i="1"/>
  <c r="F13" i="1" s="1"/>
  <c r="C15" i="1"/>
  <c r="E15" i="1"/>
  <c r="F16" i="1"/>
  <c r="F15" i="1" s="1"/>
  <c r="C17" i="1"/>
  <c r="E17" i="1"/>
  <c r="F17" i="1"/>
  <c r="C21" i="1"/>
  <c r="E21" i="1"/>
  <c r="F21" i="1"/>
  <c r="C23" i="1"/>
  <c r="E24" i="1"/>
  <c r="E23" i="1" s="1"/>
  <c r="C25" i="1"/>
  <c r="E25" i="1"/>
  <c r="F25" i="1"/>
  <c r="C27" i="1"/>
  <c r="E27" i="1"/>
  <c r="F28" i="1"/>
  <c r="F27" i="1" s="1"/>
  <c r="C29" i="1"/>
  <c r="E29" i="1"/>
  <c r="F30" i="1"/>
  <c r="F29" i="1" s="1"/>
  <c r="C39" i="1"/>
  <c r="E39" i="1"/>
  <c r="F40" i="1"/>
  <c r="F39" i="1" s="1"/>
  <c r="C42" i="1"/>
  <c r="E42" i="1"/>
  <c r="F43" i="1"/>
  <c r="F42" i="1" s="1"/>
  <c r="C44" i="1"/>
  <c r="E44" i="1"/>
  <c r="F45" i="1"/>
  <c r="F44" i="1" s="1"/>
  <c r="C46" i="1"/>
  <c r="E46" i="1"/>
  <c r="F47" i="1"/>
  <c r="F46" i="1" s="1"/>
  <c r="C48" i="1"/>
  <c r="E48" i="1"/>
  <c r="F49" i="1"/>
  <c r="F48" i="1" s="1"/>
  <c r="C50" i="1"/>
  <c r="E50" i="1"/>
  <c r="F51" i="1"/>
  <c r="F50" i="1" s="1"/>
  <c r="C52" i="1"/>
  <c r="E52" i="1"/>
  <c r="F53" i="1"/>
  <c r="F52" i="1" s="1"/>
  <c r="C54" i="1"/>
  <c r="E54" i="1"/>
  <c r="F54" i="1"/>
  <c r="C56" i="1"/>
  <c r="E56" i="1"/>
  <c r="F59" i="1"/>
  <c r="F56" i="1" s="1"/>
  <c r="C60" i="1"/>
  <c r="E60" i="1"/>
  <c r="F61" i="1"/>
  <c r="F63" i="1"/>
  <c r="C64" i="1"/>
  <c r="E64" i="1"/>
  <c r="F64" i="1"/>
  <c r="C66" i="1"/>
  <c r="E66" i="1"/>
  <c r="F67" i="1"/>
  <c r="F66" i="1" s="1"/>
  <c r="E68" i="1"/>
  <c r="F68" i="1"/>
  <c r="C74" i="1"/>
  <c r="E74" i="1"/>
  <c r="F75" i="1"/>
  <c r="F74" i="1" s="1"/>
  <c r="C76" i="1"/>
  <c r="F77" i="1"/>
  <c r="F76" i="1" s="1"/>
  <c r="E78" i="1"/>
  <c r="E76" i="1" s="1"/>
  <c r="C79" i="1"/>
  <c r="E79" i="1"/>
  <c r="F79" i="1"/>
  <c r="C82" i="1"/>
  <c r="E82" i="1"/>
  <c r="F82" i="1"/>
  <c r="C86" i="1"/>
  <c r="E86" i="1"/>
  <c r="F86" i="1"/>
  <c r="C89" i="1"/>
  <c r="E89" i="1"/>
  <c r="F90" i="1"/>
  <c r="F89" i="1" s="1"/>
  <c r="C91" i="1"/>
  <c r="E91" i="1"/>
  <c r="F91" i="1"/>
  <c r="C93" i="1"/>
  <c r="E93" i="1"/>
  <c r="F93" i="1"/>
  <c r="C99" i="1"/>
  <c r="C96" i="1" s="1"/>
  <c r="E99" i="1"/>
  <c r="E96" i="1" s="1"/>
  <c r="F99" i="1"/>
  <c r="F96" i="1" s="1"/>
  <c r="G96" i="1" s="1"/>
  <c r="C105" i="1"/>
  <c r="E105" i="1"/>
  <c r="F105" i="1"/>
  <c r="C107" i="1"/>
  <c r="E107" i="1"/>
  <c r="F108" i="1"/>
  <c r="F109" i="1"/>
  <c r="H109" i="1" s="1"/>
  <c r="H107" i="1" s="1"/>
  <c r="C110" i="1"/>
  <c r="E110" i="1"/>
  <c r="F110" i="1"/>
  <c r="D114" i="1"/>
  <c r="D130" i="1" s="1"/>
  <c r="C116" i="1"/>
  <c r="E116" i="1"/>
  <c r="F118" i="1"/>
  <c r="F116" i="1" s="1"/>
  <c r="C121" i="1"/>
  <c r="E121" i="1"/>
  <c r="F122" i="1"/>
  <c r="F123" i="1"/>
  <c r="F124" i="1"/>
  <c r="F125" i="1"/>
  <c r="F126" i="1"/>
  <c r="F127" i="1"/>
  <c r="C131" i="1"/>
  <c r="D131" i="1"/>
  <c r="E131" i="1"/>
  <c r="F131" i="1"/>
  <c r="C133" i="1"/>
  <c r="J23" i="1"/>
  <c r="H128" i="1" l="1"/>
  <c r="C5" i="3" s="1"/>
  <c r="E128" i="1"/>
  <c r="H3" i="1"/>
  <c r="H114" i="1" s="1"/>
  <c r="C128" i="1"/>
  <c r="F107" i="1"/>
  <c r="F3" i="1"/>
  <c r="F60" i="1"/>
  <c r="F24" i="1"/>
  <c r="F23" i="1" s="1"/>
  <c r="C114" i="1"/>
  <c r="F121" i="1"/>
  <c r="F128" i="1" s="1"/>
  <c r="E114" i="1"/>
  <c r="E130" i="1" s="1"/>
  <c r="E132" i="1" s="1"/>
  <c r="D132" i="1"/>
  <c r="J131" i="1"/>
  <c r="J121" i="1"/>
  <c r="J116" i="1"/>
  <c r="J110" i="1"/>
  <c r="J107" i="1"/>
  <c r="J105" i="1"/>
  <c r="J99" i="1"/>
  <c r="J93" i="1"/>
  <c r="J91" i="1"/>
  <c r="J89" i="1"/>
  <c r="J82" i="1"/>
  <c r="J76" i="1"/>
  <c r="J74" i="1"/>
  <c r="J68" i="1"/>
  <c r="J66" i="1"/>
  <c r="J64" i="1"/>
  <c r="J60" i="1"/>
  <c r="J54" i="1"/>
  <c r="J48" i="1"/>
  <c r="J46" i="1"/>
  <c r="J44" i="1"/>
  <c r="J42" i="1"/>
  <c r="J39" i="1"/>
  <c r="J29" i="1"/>
  <c r="J27" i="1"/>
  <c r="J15" i="1"/>
  <c r="J13" i="1"/>
  <c r="J11" i="1"/>
  <c r="J10" i="1"/>
  <c r="J9" i="1"/>
  <c r="J8" i="1"/>
  <c r="L46" i="3"/>
  <c r="K43" i="3"/>
  <c r="J43" i="3"/>
  <c r="H72" i="3"/>
  <c r="H65" i="3"/>
  <c r="C130" i="1" l="1"/>
  <c r="C132" i="1" s="1"/>
  <c r="C134" i="1" s="1"/>
  <c r="H130" i="1"/>
  <c r="J128" i="1"/>
  <c r="F114" i="1"/>
  <c r="F130" i="1" s="1"/>
  <c r="F132" i="1" s="1"/>
  <c r="H9" i="3"/>
  <c r="L43" i="3"/>
  <c r="H62" i="3" l="1"/>
  <c r="H60" i="3"/>
  <c r="H58" i="3"/>
  <c r="H55" i="3"/>
  <c r="H53" i="3"/>
  <c r="H50" i="3"/>
  <c r="H48" i="3"/>
  <c r="H42" i="3"/>
  <c r="H40" i="3"/>
  <c r="H38" i="3"/>
  <c r="H30" i="3"/>
  <c r="H26" i="3"/>
  <c r="H24" i="3"/>
  <c r="H22" i="3"/>
  <c r="H19" i="3"/>
  <c r="H85" i="3" s="1"/>
  <c r="J85" i="3" s="1"/>
  <c r="H11" i="3"/>
  <c r="B14" i="7" l="1"/>
  <c r="B15" i="7"/>
  <c r="C42" i="3"/>
  <c r="D36" i="3"/>
  <c r="I36" i="3" s="1"/>
  <c r="D23" i="3"/>
  <c r="I23" i="3" s="1"/>
  <c r="D17" i="3"/>
  <c r="I17" i="3" s="1"/>
  <c r="H28" i="3" l="1"/>
  <c r="D29" i="3"/>
  <c r="I29" i="3" s="1"/>
  <c r="G15" i="3" l="1"/>
  <c r="G41" i="3" l="1"/>
  <c r="G36" i="3"/>
  <c r="G47" i="3"/>
  <c r="G43" i="3"/>
  <c r="G37" i="3"/>
  <c r="G52" i="3"/>
  <c r="G88" i="3" l="1"/>
  <c r="G72" i="3"/>
  <c r="G65" i="3"/>
  <c r="G64" i="3"/>
  <c r="G63" i="3"/>
  <c r="G60" i="3"/>
  <c r="G58" i="3"/>
  <c r="G55" i="3"/>
  <c r="G53" i="3"/>
  <c r="G50" i="3"/>
  <c r="G48" i="3"/>
  <c r="G46" i="3"/>
  <c r="G42" i="3"/>
  <c r="G40" i="3"/>
  <c r="G38" i="3"/>
  <c r="G28" i="3"/>
  <c r="G26" i="3"/>
  <c r="G24" i="3"/>
  <c r="G22" i="3"/>
  <c r="G19" i="3"/>
  <c r="G11" i="3"/>
  <c r="G10" i="3"/>
  <c r="G62" i="3" l="1"/>
  <c r="I10" i="3" l="1"/>
  <c r="B5" i="7" l="1"/>
  <c r="L68" i="1" l="1"/>
  <c r="M82" i="5" l="1"/>
  <c r="I127" i="5"/>
  <c r="I118" i="5"/>
  <c r="I114" i="5"/>
  <c r="I104" i="5"/>
  <c r="I102" i="5"/>
  <c r="I99" i="5"/>
  <c r="I90" i="5"/>
  <c r="I123" i="5" l="1"/>
  <c r="D20" i="7" s="1"/>
  <c r="D11" i="7"/>
  <c r="I64" i="3"/>
  <c r="I63" i="3"/>
  <c r="D76" i="3"/>
  <c r="I76" i="3" s="1"/>
  <c r="D83" i="3"/>
  <c r="I83" i="3" s="1"/>
  <c r="D82" i="3"/>
  <c r="I82" i="3" s="1"/>
  <c r="E72" i="3"/>
  <c r="C72" i="3"/>
  <c r="D66" i="3"/>
  <c r="I66" i="3" s="1"/>
  <c r="E65" i="3"/>
  <c r="C65" i="3"/>
  <c r="C62" i="3"/>
  <c r="E60" i="3"/>
  <c r="D60" i="3"/>
  <c r="C60" i="3"/>
  <c r="E58" i="3"/>
  <c r="D58" i="3"/>
  <c r="C58" i="3"/>
  <c r="D56" i="3"/>
  <c r="I56" i="3" s="1"/>
  <c r="C55" i="3"/>
  <c r="E53" i="3"/>
  <c r="C53" i="3"/>
  <c r="D53" i="3" s="1"/>
  <c r="D52" i="3"/>
  <c r="I52" i="3" s="1"/>
  <c r="D51" i="3"/>
  <c r="I51" i="3" s="1"/>
  <c r="E50" i="3"/>
  <c r="D49" i="3"/>
  <c r="I49" i="3" s="1"/>
  <c r="E48" i="3"/>
  <c r="C48" i="3"/>
  <c r="D48" i="3" s="1"/>
  <c r="D47" i="3"/>
  <c r="I47" i="3" s="1"/>
  <c r="E46" i="3"/>
  <c r="C46" i="3"/>
  <c r="D45" i="3"/>
  <c r="I45" i="3" s="1"/>
  <c r="D44" i="3"/>
  <c r="I44" i="3" s="1"/>
  <c r="D43" i="3"/>
  <c r="I43" i="3" s="1"/>
  <c r="E42" i="3"/>
  <c r="D41" i="3"/>
  <c r="I41" i="3" s="1"/>
  <c r="E40" i="3"/>
  <c r="C40" i="3"/>
  <c r="D39" i="3"/>
  <c r="I39" i="3" s="1"/>
  <c r="E38" i="3"/>
  <c r="D37" i="3"/>
  <c r="I37" i="3" s="1"/>
  <c r="D35" i="3"/>
  <c r="I35" i="3" s="1"/>
  <c r="D34" i="3"/>
  <c r="I34" i="3" s="1"/>
  <c r="D33" i="3"/>
  <c r="I33" i="3" s="1"/>
  <c r="D32" i="3"/>
  <c r="E32" i="3" s="1"/>
  <c r="I32" i="3" s="1"/>
  <c r="D31" i="3"/>
  <c r="E31" i="3" s="1"/>
  <c r="I31" i="3" s="1"/>
  <c r="C30" i="3"/>
  <c r="E28" i="3"/>
  <c r="C28" i="3"/>
  <c r="D27" i="3"/>
  <c r="I27" i="3" s="1"/>
  <c r="E26" i="3"/>
  <c r="C26" i="3"/>
  <c r="I25" i="3"/>
  <c r="E24" i="3"/>
  <c r="C24" i="3"/>
  <c r="E22" i="3"/>
  <c r="C22" i="3"/>
  <c r="D19" i="3"/>
  <c r="D85" i="3" s="1"/>
  <c r="C19" i="3"/>
  <c r="I18" i="3"/>
  <c r="D16" i="3"/>
  <c r="I16" i="3" s="1"/>
  <c r="D15" i="3"/>
  <c r="I15" i="3" s="1"/>
  <c r="D14" i="3"/>
  <c r="I14" i="3" s="1"/>
  <c r="D13" i="3"/>
  <c r="I13" i="3" s="1"/>
  <c r="C11" i="3"/>
  <c r="G9" i="3"/>
  <c r="C9" i="3"/>
  <c r="F10" i="7" l="1"/>
  <c r="I48" i="3"/>
  <c r="I19" i="3"/>
  <c r="I58" i="3"/>
  <c r="I53" i="3"/>
  <c r="I60" i="3"/>
  <c r="D38" i="3"/>
  <c r="I38" i="3" s="1"/>
  <c r="D40" i="3"/>
  <c r="I40" i="3" s="1"/>
  <c r="D42" i="3"/>
  <c r="I42" i="3" s="1"/>
  <c r="B16" i="7"/>
  <c r="F16" i="7" s="1"/>
  <c r="D11" i="3"/>
  <c r="I11" i="3" s="1"/>
  <c r="D28" i="3"/>
  <c r="I28" i="3" s="1"/>
  <c r="F13" i="7"/>
  <c r="D55" i="3"/>
  <c r="I55" i="3" s="1"/>
  <c r="F9" i="7"/>
  <c r="F15" i="7"/>
  <c r="D22" i="3"/>
  <c r="I22" i="3" s="1"/>
  <c r="D24" i="3"/>
  <c r="I24" i="3" s="1"/>
  <c r="D26" i="3"/>
  <c r="I26" i="3" s="1"/>
  <c r="E30" i="3"/>
  <c r="D46" i="3"/>
  <c r="I46" i="3" s="1"/>
  <c r="D62" i="3"/>
  <c r="D65" i="3"/>
  <c r="I65" i="3" s="1"/>
  <c r="D72" i="3"/>
  <c r="I72" i="3" s="1"/>
  <c r="E62" i="3"/>
  <c r="D50" i="3"/>
  <c r="I50" i="3" s="1"/>
  <c r="D30" i="3"/>
  <c r="C50" i="3"/>
  <c r="I30" i="3" l="1"/>
  <c r="I62" i="3"/>
  <c r="F14" i="7"/>
  <c r="F12" i="7"/>
  <c r="L13" i="3"/>
  <c r="I85" i="3" l="1"/>
  <c r="B18" i="7"/>
  <c r="L59" i="3" l="1"/>
  <c r="M99" i="5" l="1"/>
  <c r="B19" i="5"/>
  <c r="B18" i="5" s="1"/>
  <c r="B21" i="5" l="1"/>
  <c r="B20" i="5" s="1"/>
  <c r="D21" i="5" l="1"/>
  <c r="D20" i="5" s="1"/>
  <c r="I20" i="5"/>
  <c r="F20" i="5"/>
  <c r="I62" i="5"/>
  <c r="I57" i="5"/>
  <c r="I78" i="5"/>
  <c r="I68" i="5"/>
  <c r="I53" i="5"/>
  <c r="I43" i="5"/>
  <c r="D26" i="7" s="1"/>
  <c r="I39" i="5"/>
  <c r="D31" i="7" s="1"/>
  <c r="I51" i="5"/>
  <c r="I60" i="5"/>
  <c r="I72" i="5"/>
  <c r="I74" i="5"/>
  <c r="I76" i="5"/>
  <c r="I81" i="5"/>
  <c r="I24" i="5"/>
  <c r="I22" i="5"/>
  <c r="D28" i="7" l="1"/>
  <c r="D29" i="7"/>
  <c r="F29" i="7" s="1"/>
  <c r="I56" i="5"/>
  <c r="D25" i="7" l="1"/>
  <c r="I9" i="5" l="1"/>
  <c r="K2" i="1"/>
  <c r="C11" i="5" l="1"/>
  <c r="E11" i="5"/>
  <c r="L15" i="1"/>
  <c r="C3" i="5"/>
  <c r="I61" i="1"/>
  <c r="F11" i="5" l="1"/>
  <c r="I11" i="5"/>
  <c r="E6" i="5"/>
  <c r="I7" i="5" l="1"/>
  <c r="I3" i="5"/>
  <c r="L21" i="1"/>
  <c r="L13" i="1"/>
  <c r="J7" i="1" l="1"/>
  <c r="J3" i="1" s="1"/>
  <c r="J114" i="1" s="1"/>
  <c r="J130" i="1" s="1"/>
  <c r="J132" i="1" s="1"/>
  <c r="D19" i="5"/>
  <c r="D18" i="5" s="1"/>
  <c r="L17" i="1"/>
  <c r="E18" i="5" l="1"/>
  <c r="F18" i="5" s="1"/>
  <c r="F83" i="5" s="1"/>
  <c r="I18" i="5"/>
  <c r="E14" i="5"/>
  <c r="F14" i="5" s="1"/>
  <c r="I14" i="5"/>
  <c r="I116" i="1"/>
  <c r="I110" i="1"/>
  <c r="I109" i="1"/>
  <c r="I99" i="1"/>
  <c r="K96" i="1" s="1"/>
  <c r="I91" i="1"/>
  <c r="I89" i="1"/>
  <c r="I86" i="1"/>
  <c r="K86" i="1" s="1"/>
  <c r="I82" i="1"/>
  <c r="I76" i="1"/>
  <c r="I74" i="1"/>
  <c r="I68" i="1"/>
  <c r="I66" i="1"/>
  <c r="I64" i="1"/>
  <c r="I54" i="1"/>
  <c r="I52" i="1"/>
  <c r="I50" i="1"/>
  <c r="I48" i="1"/>
  <c r="I44" i="1"/>
  <c r="I42" i="1"/>
  <c r="I39" i="1"/>
  <c r="I29" i="1"/>
  <c r="I27" i="1"/>
  <c r="I17" i="1"/>
  <c r="L54" i="1"/>
  <c r="L110" i="1"/>
  <c r="L107" i="1"/>
  <c r="L105" i="1"/>
  <c r="L99" i="1"/>
  <c r="L91" i="1"/>
  <c r="L89" i="1"/>
  <c r="L82" i="1"/>
  <c r="L76" i="1"/>
  <c r="L74" i="1"/>
  <c r="L66" i="1"/>
  <c r="L64" i="1"/>
  <c r="L60" i="1"/>
  <c r="L52" i="1"/>
  <c r="L50" i="1"/>
  <c r="B28" i="7" s="1"/>
  <c r="F28" i="7" s="1"/>
  <c r="L48" i="1"/>
  <c r="L44" i="1"/>
  <c r="L42" i="1"/>
  <c r="L39" i="1"/>
  <c r="L27" i="1"/>
  <c r="L11" i="1"/>
  <c r="L10" i="1"/>
  <c r="L9" i="1"/>
  <c r="L8" i="1"/>
  <c r="D27" i="7" l="1"/>
  <c r="D33" i="7" s="1"/>
  <c r="I83" i="5"/>
  <c r="F26" i="7"/>
  <c r="L128" i="1"/>
  <c r="I60" i="1"/>
  <c r="I107" i="1"/>
  <c r="I121" i="1"/>
  <c r="I128" i="1" s="1"/>
  <c r="K110" i="1"/>
  <c r="K105" i="1"/>
  <c r="K99" i="1"/>
  <c r="K93" i="1"/>
  <c r="K91" i="1"/>
  <c r="K89" i="1"/>
  <c r="K79" i="1"/>
  <c r="K76" i="1"/>
  <c r="K74" i="1"/>
  <c r="K68" i="1"/>
  <c r="K66" i="1"/>
  <c r="K64" i="1"/>
  <c r="K56" i="1"/>
  <c r="K54" i="1"/>
  <c r="K48" i="1"/>
  <c r="K46" i="1"/>
  <c r="K44" i="1"/>
  <c r="K42" i="1"/>
  <c r="K29" i="1"/>
  <c r="G105" i="1"/>
  <c r="G99" i="1"/>
  <c r="G86" i="1"/>
  <c r="G74" i="1"/>
  <c r="G68" i="1"/>
  <c r="G27" i="1"/>
  <c r="F53" i="3"/>
  <c r="F32" i="3"/>
  <c r="G32" i="3" s="1"/>
  <c r="F35" i="3"/>
  <c r="F36" i="3"/>
  <c r="F73" i="3"/>
  <c r="F63" i="3"/>
  <c r="F66" i="3"/>
  <c r="F61" i="3"/>
  <c r="F59" i="3"/>
  <c r="F56" i="3"/>
  <c r="F54" i="3"/>
  <c r="F49" i="3"/>
  <c r="F47" i="3"/>
  <c r="F43" i="3"/>
  <c r="F41" i="3"/>
  <c r="F39" i="3"/>
  <c r="F29" i="3"/>
  <c r="F27" i="3"/>
  <c r="F25" i="3"/>
  <c r="F23" i="3"/>
  <c r="F20" i="3"/>
  <c r="F11" i="3"/>
  <c r="Q5" i="4"/>
  <c r="K95" i="5"/>
  <c r="R5" i="4"/>
  <c r="B16" i="5"/>
  <c r="B15" i="5"/>
  <c r="B14" i="5" s="1"/>
  <c r="B11" i="5"/>
  <c r="B9" i="5"/>
  <c r="B7" i="5"/>
  <c r="B3" i="5"/>
  <c r="P50" i="4"/>
  <c r="P52" i="4" s="1"/>
  <c r="R52" i="4" s="1"/>
  <c r="P35" i="4"/>
  <c r="D7" i="5"/>
  <c r="D3" i="5"/>
  <c r="P94" i="4"/>
  <c r="P97" i="4" s="1"/>
  <c r="Q97" i="4" s="1"/>
  <c r="R70" i="4"/>
  <c r="Q70" i="4"/>
  <c r="R55" i="4"/>
  <c r="Q55" i="4"/>
  <c r="R40" i="4"/>
  <c r="Q40" i="4"/>
  <c r="R9" i="4"/>
  <c r="Q9" i="4"/>
  <c r="P80" i="4"/>
  <c r="R80" i="4" s="1"/>
  <c r="P65" i="4"/>
  <c r="R99" i="4"/>
  <c r="Q99" i="4"/>
  <c r="R98" i="4"/>
  <c r="Q98" i="4"/>
  <c r="R96" i="4"/>
  <c r="Q96" i="4"/>
  <c r="R95" i="4"/>
  <c r="Q95" i="4"/>
  <c r="R85" i="4"/>
  <c r="Q85" i="4"/>
  <c r="R84" i="4"/>
  <c r="Q84" i="4"/>
  <c r="R82" i="4"/>
  <c r="Q82" i="4"/>
  <c r="R81" i="4"/>
  <c r="Q81" i="4"/>
  <c r="Q50" i="4"/>
  <c r="R25" i="4"/>
  <c r="Q25" i="4"/>
  <c r="R24" i="4"/>
  <c r="Q24" i="4"/>
  <c r="P71" i="4"/>
  <c r="R71" i="4" s="1"/>
  <c r="P56" i="4"/>
  <c r="Q56" i="4" s="1"/>
  <c r="P41" i="4"/>
  <c r="Q41" i="4" s="1"/>
  <c r="P26" i="4"/>
  <c r="R26" i="4" s="1"/>
  <c r="P10" i="4"/>
  <c r="Q10" i="4" s="1"/>
  <c r="P8" i="4"/>
  <c r="R8" i="4" s="1"/>
  <c r="P7" i="4"/>
  <c r="R7" i="4" s="1"/>
  <c r="P19" i="4"/>
  <c r="Q19" i="4" s="1"/>
  <c r="P57" i="4"/>
  <c r="R57" i="4" s="1"/>
  <c r="P11" i="4"/>
  <c r="R11" i="4" s="1"/>
  <c r="P6" i="4"/>
  <c r="P21" i="4"/>
  <c r="Q21" i="4" s="1"/>
  <c r="Q52" i="4"/>
  <c r="R94" i="4"/>
  <c r="R50" i="4"/>
  <c r="R19" i="4"/>
  <c r="P42" i="4"/>
  <c r="P20" i="4"/>
  <c r="Q20" i="4" s="1"/>
  <c r="Q6" i="4"/>
  <c r="R6" i="4"/>
  <c r="K82" i="1"/>
  <c r="G110" i="1"/>
  <c r="G93" i="1"/>
  <c r="G91" i="1"/>
  <c r="G79" i="1"/>
  <c r="G64" i="1"/>
  <c r="G54" i="1"/>
  <c r="C155" i="4"/>
  <c r="D155" i="4"/>
  <c r="D158" i="4" s="1"/>
  <c r="E160" i="4"/>
  <c r="B161" i="4"/>
  <c r="B164" i="4" s="1"/>
  <c r="B158" i="4"/>
  <c r="B162" i="4" s="1"/>
  <c r="B163" i="4" s="1"/>
  <c r="C159" i="4"/>
  <c r="E159" i="4" s="1"/>
  <c r="D159" i="4"/>
  <c r="E156" i="4"/>
  <c r="C142" i="4"/>
  <c r="C148" i="4" s="1"/>
  <c r="C151" i="4" s="1"/>
  <c r="D142" i="4"/>
  <c r="D145" i="4" s="1"/>
  <c r="E147" i="4"/>
  <c r="B148" i="4"/>
  <c r="B151" i="4"/>
  <c r="B145" i="4"/>
  <c r="B149" i="4" s="1"/>
  <c r="B150" i="4" s="1"/>
  <c r="C146" i="4"/>
  <c r="D146" i="4"/>
  <c r="C145" i="4"/>
  <c r="E143" i="4"/>
  <c r="C129" i="4"/>
  <c r="C135" i="4" s="1"/>
  <c r="D129" i="4"/>
  <c r="D135" i="4" s="1"/>
  <c r="C131" i="4"/>
  <c r="D131" i="4"/>
  <c r="C134" i="4"/>
  <c r="D134" i="4"/>
  <c r="B135" i="4"/>
  <c r="B138" i="4" s="1"/>
  <c r="B132" i="4"/>
  <c r="B136" i="4" s="1"/>
  <c r="B137" i="4" s="1"/>
  <c r="C133" i="4"/>
  <c r="D133" i="4"/>
  <c r="E130" i="4"/>
  <c r="C116" i="4"/>
  <c r="C122" i="4" s="1"/>
  <c r="D116" i="4"/>
  <c r="D117" i="4" s="1"/>
  <c r="C118" i="4"/>
  <c r="D118" i="4"/>
  <c r="E118" i="4" s="1"/>
  <c r="C121" i="4"/>
  <c r="D121" i="4"/>
  <c r="J19" i="4" s="1"/>
  <c r="B122" i="4"/>
  <c r="B125" i="4" s="1"/>
  <c r="B117" i="4"/>
  <c r="H15" i="4" s="1"/>
  <c r="B119" i="4"/>
  <c r="C120" i="4"/>
  <c r="D120" i="4"/>
  <c r="C103" i="4"/>
  <c r="C106" i="4" s="1"/>
  <c r="C105" i="4"/>
  <c r="D105" i="4"/>
  <c r="C108" i="4"/>
  <c r="E108" i="4" s="1"/>
  <c r="D109" i="4"/>
  <c r="D112" i="4" s="1"/>
  <c r="B109" i="4"/>
  <c r="B112" i="4" s="1"/>
  <c r="B104" i="4"/>
  <c r="B106" i="4"/>
  <c r="C107" i="4"/>
  <c r="D107" i="4"/>
  <c r="D106" i="4"/>
  <c r="D104" i="4"/>
  <c r="J15" i="4" s="1"/>
  <c r="E90" i="4"/>
  <c r="C92" i="4"/>
  <c r="C99" i="4" s="1"/>
  <c r="D92" i="4"/>
  <c r="E95" i="4"/>
  <c r="B96" i="4"/>
  <c r="B99" i="4" s="1"/>
  <c r="B93" i="4"/>
  <c r="B97" i="4" s="1"/>
  <c r="B98" i="4" s="1"/>
  <c r="C94" i="4"/>
  <c r="D94" i="4"/>
  <c r="E94" i="4" s="1"/>
  <c r="C93" i="4"/>
  <c r="D93" i="4"/>
  <c r="E91" i="4"/>
  <c r="B82" i="4"/>
  <c r="B85" i="4" s="1"/>
  <c r="B86" i="4" s="1"/>
  <c r="C76" i="4"/>
  <c r="E76" i="4" s="1"/>
  <c r="D76" i="4"/>
  <c r="D82" i="4"/>
  <c r="C78" i="4"/>
  <c r="D78" i="4"/>
  <c r="E81" i="4"/>
  <c r="B79" i="4"/>
  <c r="B83" i="4" s="1"/>
  <c r="B84" i="4" s="1"/>
  <c r="C80" i="4"/>
  <c r="D80" i="4"/>
  <c r="E77" i="4"/>
  <c r="D64" i="4"/>
  <c r="E64" i="4" s="1"/>
  <c r="D67" i="4"/>
  <c r="E67" i="4" s="1"/>
  <c r="D68" i="4"/>
  <c r="E68" i="4"/>
  <c r="E62" i="4"/>
  <c r="C64" i="4"/>
  <c r="C71" i="4" s="1"/>
  <c r="B68" i="4"/>
  <c r="B71" i="4" s="1"/>
  <c r="B63" i="4"/>
  <c r="B65" i="4"/>
  <c r="C66" i="4"/>
  <c r="D66" i="4"/>
  <c r="D65" i="4"/>
  <c r="E65" i="4" s="1"/>
  <c r="D63" i="4"/>
  <c r="E63" i="4" s="1"/>
  <c r="B54" i="4"/>
  <c r="B57" i="4" s="1"/>
  <c r="B58" i="4" s="1"/>
  <c r="C48" i="4"/>
  <c r="C54" i="4" s="1"/>
  <c r="D48" i="4"/>
  <c r="D51" i="4" s="1"/>
  <c r="C50" i="4"/>
  <c r="D50" i="4"/>
  <c r="C53" i="4"/>
  <c r="D53" i="4"/>
  <c r="B49" i="4"/>
  <c r="B51" i="4"/>
  <c r="C52" i="4"/>
  <c r="D52" i="4"/>
  <c r="E52" i="4" s="1"/>
  <c r="B40" i="4"/>
  <c r="B43" i="4" s="1"/>
  <c r="B44" i="4" s="1"/>
  <c r="C34" i="4"/>
  <c r="C40" i="4" s="1"/>
  <c r="C35" i="4"/>
  <c r="D34" i="4"/>
  <c r="C36" i="4"/>
  <c r="D36" i="4"/>
  <c r="C39" i="4"/>
  <c r="C43" i="4" s="1"/>
  <c r="D39" i="4"/>
  <c r="B35" i="4"/>
  <c r="B37" i="4"/>
  <c r="C38" i="4"/>
  <c r="D38" i="4"/>
  <c r="C19" i="4"/>
  <c r="D19" i="4"/>
  <c r="D22" i="4"/>
  <c r="E22" i="4" s="1"/>
  <c r="C21" i="4"/>
  <c r="D21" i="4"/>
  <c r="C10" i="4"/>
  <c r="E10" i="4"/>
  <c r="C25" i="4"/>
  <c r="E25" i="4" s="1"/>
  <c r="D25" i="4"/>
  <c r="C11" i="4"/>
  <c r="D11" i="4"/>
  <c r="D14" i="4" s="1"/>
  <c r="H2" i="4"/>
  <c r="H14" i="4"/>
  <c r="H4" i="4"/>
  <c r="H16" i="4"/>
  <c r="H7" i="4"/>
  <c r="H32" i="4" s="1"/>
  <c r="H19" i="4"/>
  <c r="B11" i="4"/>
  <c r="B14" i="4" s="1"/>
  <c r="B15" i="4" s="1"/>
  <c r="B26" i="4"/>
  <c r="B29" i="4" s="1"/>
  <c r="B30" i="4" s="1"/>
  <c r="C23" i="4"/>
  <c r="D23" i="4"/>
  <c r="H6" i="4"/>
  <c r="H18" i="4"/>
  <c r="C8" i="4"/>
  <c r="E8" i="4" s="1"/>
  <c r="C22" i="4"/>
  <c r="D8" i="4"/>
  <c r="B8" i="4"/>
  <c r="B22" i="4"/>
  <c r="B20" i="4"/>
  <c r="C6" i="4"/>
  <c r="D6" i="4"/>
  <c r="B6" i="4"/>
  <c r="E24" i="4"/>
  <c r="E5" i="4"/>
  <c r="E7" i="4"/>
  <c r="E9" i="4"/>
  <c r="G82" i="1"/>
  <c r="A15" i="1"/>
  <c r="A17" i="1" s="1"/>
  <c r="A21" i="1" s="1"/>
  <c r="A23" i="1" s="1"/>
  <c r="A25" i="1" s="1"/>
  <c r="A27" i="1" s="1"/>
  <c r="A29" i="1" s="1"/>
  <c r="A39" i="1" s="1"/>
  <c r="E39" i="4"/>
  <c r="E121" i="4"/>
  <c r="C79" i="4"/>
  <c r="D96" i="4"/>
  <c r="E96" i="4" s="1"/>
  <c r="R42" i="4"/>
  <c r="Q42" i="4"/>
  <c r="P100" i="4"/>
  <c r="P103" i="4" s="1"/>
  <c r="I2" i="4"/>
  <c r="D49" i="4"/>
  <c r="C82" i="4"/>
  <c r="D138" i="4"/>
  <c r="J7" i="4"/>
  <c r="E66" i="4"/>
  <c r="C119" i="4"/>
  <c r="H25" i="4"/>
  <c r="D26" i="4"/>
  <c r="I19" i="4"/>
  <c r="E133" i="4"/>
  <c r="E120" i="4"/>
  <c r="D20" i="4"/>
  <c r="B27" i="4"/>
  <c r="B28" i="4" s="1"/>
  <c r="E19" i="4"/>
  <c r="D119" i="4"/>
  <c r="E134" i="4"/>
  <c r="P27" i="4"/>
  <c r="R20" i="4"/>
  <c r="D122" i="4"/>
  <c r="E122" i="4"/>
  <c r="I4" i="4"/>
  <c r="E92" i="4"/>
  <c r="E99" i="4"/>
  <c r="E116" i="4"/>
  <c r="C14" i="4"/>
  <c r="B55" i="4"/>
  <c r="B56" i="4" s="1"/>
  <c r="E155" i="4"/>
  <c r="C158" i="4"/>
  <c r="C20" i="4"/>
  <c r="E20" i="4" s="1"/>
  <c r="C26" i="4"/>
  <c r="I8" i="4" s="1"/>
  <c r="J18" i="4"/>
  <c r="E105" i="4"/>
  <c r="D132" i="4"/>
  <c r="E129" i="4"/>
  <c r="C132" i="4"/>
  <c r="C161" i="4"/>
  <c r="C164" i="4" s="1"/>
  <c r="E34" i="4"/>
  <c r="C37" i="4"/>
  <c r="E50" i="4"/>
  <c r="C85" i="4"/>
  <c r="C104" i="4"/>
  <c r="E104" i="4" s="1"/>
  <c r="E21" i="4"/>
  <c r="E23" i="4"/>
  <c r="D40" i="4"/>
  <c r="E40" i="4" s="1"/>
  <c r="D35" i="4"/>
  <c r="D37" i="4"/>
  <c r="C49" i="4"/>
  <c r="I3" i="4" s="1"/>
  <c r="C51" i="4"/>
  <c r="E107" i="4"/>
  <c r="I18" i="4"/>
  <c r="D79" i="4"/>
  <c r="E79" i="4" s="1"/>
  <c r="R100" i="4"/>
  <c r="Q100" i="4"/>
  <c r="R27" i="4"/>
  <c r="Q27" i="4"/>
  <c r="C57" i="4"/>
  <c r="E26" i="4"/>
  <c r="Q57" i="4"/>
  <c r="G17" i="1"/>
  <c r="G116" i="1"/>
  <c r="G50" i="1"/>
  <c r="G39" i="1"/>
  <c r="F51" i="3"/>
  <c r="F27" i="7" l="1"/>
  <c r="B83" i="5"/>
  <c r="B85" i="5" s="1"/>
  <c r="B87" i="5" s="1"/>
  <c r="E29" i="4"/>
  <c r="I5" i="4"/>
  <c r="J3" i="4"/>
  <c r="J26" i="4" s="1"/>
  <c r="B12" i="4"/>
  <c r="B13" i="4" s="1"/>
  <c r="I6" i="4"/>
  <c r="E35" i="4"/>
  <c r="B69" i="4"/>
  <c r="B70" i="4" s="1"/>
  <c r="E71" i="4"/>
  <c r="E82" i="4"/>
  <c r="H17" i="4"/>
  <c r="E125" i="4"/>
  <c r="E131" i="4"/>
  <c r="E145" i="4"/>
  <c r="P86" i="4"/>
  <c r="Q94" i="4"/>
  <c r="Q103" i="4" s="1"/>
  <c r="K18" i="4"/>
  <c r="D99" i="4"/>
  <c r="E78" i="4"/>
  <c r="R97" i="4"/>
  <c r="R21" i="4"/>
  <c r="P101" i="4"/>
  <c r="P102" i="4" s="1"/>
  <c r="I17" i="4"/>
  <c r="I28" i="4" s="1"/>
  <c r="E106" i="4"/>
  <c r="I14" i="4"/>
  <c r="E103" i="4"/>
  <c r="J14" i="4"/>
  <c r="E132" i="4"/>
  <c r="H20" i="4"/>
  <c r="E142" i="4"/>
  <c r="H8" i="4"/>
  <c r="H33" i="4" s="1"/>
  <c r="J4" i="4"/>
  <c r="K4" i="4" s="1"/>
  <c r="J6" i="4"/>
  <c r="K6" i="4" s="1"/>
  <c r="D85" i="4"/>
  <c r="J16" i="4"/>
  <c r="F25" i="7"/>
  <c r="E51" i="4"/>
  <c r="C138" i="4"/>
  <c r="B123" i="4"/>
  <c r="B124" i="4" s="1"/>
  <c r="D71" i="4"/>
  <c r="B72" i="4" s="1"/>
  <c r="E38" i="4"/>
  <c r="D29" i="4"/>
  <c r="H3" i="4"/>
  <c r="H26" i="4" s="1"/>
  <c r="K19" i="4"/>
  <c r="E135" i="4"/>
  <c r="E138" i="4" s="1"/>
  <c r="E146" i="4"/>
  <c r="C109" i="4"/>
  <c r="E48" i="4"/>
  <c r="E158" i="4"/>
  <c r="B110" i="4"/>
  <c r="B111" i="4" s="1"/>
  <c r="Q8" i="4"/>
  <c r="R41" i="4"/>
  <c r="K107" i="1"/>
  <c r="K60" i="1"/>
  <c r="N130" i="1"/>
  <c r="K99" i="5"/>
  <c r="F33" i="3"/>
  <c r="F31" i="3" s="1"/>
  <c r="G30" i="3" s="1"/>
  <c r="G85" i="3" s="1"/>
  <c r="G23" i="1"/>
  <c r="J32" i="4"/>
  <c r="P14" i="4"/>
  <c r="P15" i="4" s="1"/>
  <c r="Q11" i="4"/>
  <c r="Q26" i="4"/>
  <c r="Q111" i="4" s="1"/>
  <c r="R56" i="4"/>
  <c r="P51" i="4"/>
  <c r="P53" i="4" s="1"/>
  <c r="G42" i="1"/>
  <c r="G60" i="1"/>
  <c r="E119" i="4"/>
  <c r="E11" i="4"/>
  <c r="E14" i="4" s="1"/>
  <c r="E6" i="4"/>
  <c r="H31" i="4"/>
  <c r="I7" i="4"/>
  <c r="K7" i="4" s="1"/>
  <c r="J2" i="4"/>
  <c r="B41" i="4"/>
  <c r="B42" i="4" s="1"/>
  <c r="E36" i="4"/>
  <c r="E43" i="4" s="1"/>
  <c r="E53" i="4"/>
  <c r="G44" i="1"/>
  <c r="G89" i="1"/>
  <c r="K27" i="1"/>
  <c r="K50" i="1"/>
  <c r="G13" i="1"/>
  <c r="G29" i="1"/>
  <c r="G46" i="1"/>
  <c r="G56" i="1"/>
  <c r="G66" i="1"/>
  <c r="G76" i="1"/>
  <c r="H5" i="4"/>
  <c r="H30" i="4" s="1"/>
  <c r="D54" i="4"/>
  <c r="E80" i="4"/>
  <c r="E93" i="4"/>
  <c r="I16" i="4"/>
  <c r="I29" i="4" s="1"/>
  <c r="G21" i="1"/>
  <c r="G15" i="1"/>
  <c r="G48" i="1"/>
  <c r="G107" i="1"/>
  <c r="K39" i="1"/>
  <c r="G52" i="1"/>
  <c r="I9" i="1"/>
  <c r="I8" i="1"/>
  <c r="I11" i="1"/>
  <c r="I10" i="1"/>
  <c r="K23" i="1"/>
  <c r="K52" i="1"/>
  <c r="G3" i="1"/>
  <c r="K17" i="1"/>
  <c r="G121" i="1"/>
  <c r="K3" i="4"/>
  <c r="I25" i="4"/>
  <c r="H9" i="4"/>
  <c r="R103" i="4"/>
  <c r="I30" i="4"/>
  <c r="E49" i="4"/>
  <c r="J31" i="4"/>
  <c r="J5" i="4"/>
  <c r="H21" i="4"/>
  <c r="G25" i="1"/>
  <c r="C29" i="4"/>
  <c r="E85" i="4"/>
  <c r="I31" i="4"/>
  <c r="K31" i="4" s="1"/>
  <c r="K14" i="4"/>
  <c r="E37" i="4"/>
  <c r="J17" i="4"/>
  <c r="D43" i="4"/>
  <c r="R65" i="4"/>
  <c r="R35" i="4"/>
  <c r="Q35" i="4"/>
  <c r="Q71" i="4"/>
  <c r="R10" i="4"/>
  <c r="R14" i="4" s="1"/>
  <c r="C117" i="4"/>
  <c r="P12" i="4"/>
  <c r="P13" i="4" s="1"/>
  <c r="Q65" i="4"/>
  <c r="Q17" i="5"/>
  <c r="Q7" i="4"/>
  <c r="Q14" i="4" s="1"/>
  <c r="Q80" i="4"/>
  <c r="P83" i="4"/>
  <c r="D125" i="4"/>
  <c r="H29" i="4"/>
  <c r="D161" i="4"/>
  <c r="P23" i="4"/>
  <c r="P22" i="4"/>
  <c r="C125" i="4"/>
  <c r="D148" i="4"/>
  <c r="D151" i="4" s="1"/>
  <c r="P37" i="4"/>
  <c r="P36" i="4"/>
  <c r="P66" i="4"/>
  <c r="F10" i="3"/>
  <c r="F9" i="3" s="1"/>
  <c r="R86" i="4" l="1"/>
  <c r="R89" i="4" s="1"/>
  <c r="P89" i="4"/>
  <c r="P90" i="4" s="1"/>
  <c r="Q86" i="4"/>
  <c r="Q89" i="4" s="1"/>
  <c r="H34" i="4"/>
  <c r="G87" i="3"/>
  <c r="G89" i="3"/>
  <c r="K17" i="4"/>
  <c r="E109" i="4"/>
  <c r="E112" i="4" s="1"/>
  <c r="I20" i="4"/>
  <c r="I96" i="5"/>
  <c r="J27" i="4"/>
  <c r="J29" i="4"/>
  <c r="K29" i="4" s="1"/>
  <c r="C112" i="4"/>
  <c r="L7" i="1"/>
  <c r="L3" i="1" s="1"/>
  <c r="L114" i="1" s="1"/>
  <c r="M114" i="1" s="1"/>
  <c r="I3" i="1"/>
  <c r="D5" i="3"/>
  <c r="H5" i="3" s="1"/>
  <c r="C87" i="3"/>
  <c r="C89" i="3" s="1"/>
  <c r="F86" i="3"/>
  <c r="K2" i="4"/>
  <c r="J25" i="4"/>
  <c r="R51" i="4"/>
  <c r="Q51" i="4"/>
  <c r="P54" i="4"/>
  <c r="I32" i="4"/>
  <c r="K32" i="4" s="1"/>
  <c r="I9" i="4"/>
  <c r="D57" i="4"/>
  <c r="E54" i="4"/>
  <c r="E57" i="4" s="1"/>
  <c r="J8" i="4"/>
  <c r="K16" i="4"/>
  <c r="I27" i="4"/>
  <c r="K27" i="4" s="1"/>
  <c r="G128" i="1"/>
  <c r="P60" i="4"/>
  <c r="P61" i="4" s="1"/>
  <c r="Q53" i="4"/>
  <c r="Q60" i="4" s="1"/>
  <c r="R53" i="4"/>
  <c r="R60" i="4" s="1"/>
  <c r="P58" i="4"/>
  <c r="P59" i="4" s="1"/>
  <c r="E117" i="4"/>
  <c r="I15" i="4"/>
  <c r="K25" i="4"/>
  <c r="G114" i="1"/>
  <c r="R66" i="4"/>
  <c r="Q66" i="4"/>
  <c r="E148" i="4"/>
  <c r="E151" i="4" s="1"/>
  <c r="J20" i="4"/>
  <c r="Q23" i="4"/>
  <c r="Q30" i="4" s="1"/>
  <c r="R23" i="4"/>
  <c r="R30" i="4" s="1"/>
  <c r="E87" i="3"/>
  <c r="F5" i="3"/>
  <c r="P69" i="4"/>
  <c r="R111" i="4"/>
  <c r="Q36" i="4"/>
  <c r="P38" i="4"/>
  <c r="R36" i="4"/>
  <c r="E161" i="4"/>
  <c r="E164" i="4" s="1"/>
  <c r="D164" i="4"/>
  <c r="R83" i="4"/>
  <c r="P87" i="4"/>
  <c r="P88" i="4" s="1"/>
  <c r="Q83" i="4"/>
  <c r="P39" i="4"/>
  <c r="P68" i="4"/>
  <c r="J28" i="4"/>
  <c r="K28" i="4" s="1"/>
  <c r="J30" i="4"/>
  <c r="K30" i="4" s="1"/>
  <c r="R37" i="4"/>
  <c r="Q37" i="4"/>
  <c r="P30" i="4"/>
  <c r="P31" i="4" s="1"/>
  <c r="Q22" i="4"/>
  <c r="P28" i="4"/>
  <c r="P29" i="4" s="1"/>
  <c r="R22" i="4"/>
  <c r="P72" i="4"/>
  <c r="P67" i="4"/>
  <c r="K5" i="4"/>
  <c r="H87" i="3" l="1"/>
  <c r="I111" i="5"/>
  <c r="I124" i="5" s="1"/>
  <c r="B30" i="7"/>
  <c r="I33" i="4"/>
  <c r="I34" i="4" s="1"/>
  <c r="I21" i="4"/>
  <c r="I13" i="1"/>
  <c r="D87" i="3"/>
  <c r="F88" i="3"/>
  <c r="L131" i="1" s="1"/>
  <c r="Q110" i="4"/>
  <c r="K8" i="4"/>
  <c r="K9" i="4" s="1"/>
  <c r="J9" i="4"/>
  <c r="Q54" i="4"/>
  <c r="R54" i="4"/>
  <c r="Q39" i="4"/>
  <c r="R39" i="4"/>
  <c r="R110" i="4"/>
  <c r="R108" i="4"/>
  <c r="R69" i="4"/>
  <c r="Q69" i="4"/>
  <c r="J21" i="4"/>
  <c r="K20" i="4"/>
  <c r="K21" i="4" s="1"/>
  <c r="J33" i="4"/>
  <c r="Q72" i="4"/>
  <c r="Q109" i="4" s="1"/>
  <c r="K21" i="1" s="1"/>
  <c r="R72" i="4"/>
  <c r="R109" i="4" s="1"/>
  <c r="R38" i="4"/>
  <c r="R45" i="4" s="1"/>
  <c r="Q38" i="4"/>
  <c r="Q45" i="4" s="1"/>
  <c r="P45" i="4"/>
  <c r="P46" i="4" s="1"/>
  <c r="Q108" i="4"/>
  <c r="P43" i="4"/>
  <c r="P44" i="4" s="1"/>
  <c r="G130" i="1"/>
  <c r="Q67" i="4"/>
  <c r="P73" i="4"/>
  <c r="P74" i="4" s="1"/>
  <c r="R67" i="4"/>
  <c r="Q68" i="4"/>
  <c r="Q75" i="4" s="1"/>
  <c r="R68" i="4"/>
  <c r="R75" i="4" s="1"/>
  <c r="P75" i="4"/>
  <c r="P76" i="4" s="1"/>
  <c r="K15" i="4"/>
  <c r="I26" i="4"/>
  <c r="K26" i="4" s="1"/>
  <c r="F20" i="7" l="1"/>
  <c r="B22" i="7"/>
  <c r="I130" i="5"/>
  <c r="J83" i="5" s="1"/>
  <c r="I131" i="1"/>
  <c r="D89" i="3"/>
  <c r="F30" i="7"/>
  <c r="B33" i="7"/>
  <c r="F11" i="7"/>
  <c r="D18" i="7"/>
  <c r="I15" i="1"/>
  <c r="I114" i="1" s="1"/>
  <c r="I130" i="1" s="1"/>
  <c r="K3" i="1"/>
  <c r="D83" i="5"/>
  <c r="D85" i="5" s="1"/>
  <c r="D87" i="5" s="1"/>
  <c r="J34" i="4"/>
  <c r="K33" i="4"/>
  <c r="K34" i="4" s="1"/>
  <c r="I85" i="5" l="1"/>
  <c r="I87" i="5" s="1"/>
  <c r="I132" i="1"/>
  <c r="F33" i="7"/>
  <c r="B35" i="7"/>
  <c r="B37" i="7" s="1"/>
  <c r="D22" i="7"/>
  <c r="D35" i="7" s="1"/>
  <c r="D37" i="7" s="1"/>
  <c r="F18" i="7"/>
  <c r="F22" i="7" s="1"/>
  <c r="K15" i="1"/>
  <c r="H88" i="3"/>
  <c r="E7" i="5"/>
  <c r="E3" i="5"/>
  <c r="E9" i="5" s="1"/>
  <c r="F9" i="5" s="1"/>
  <c r="H89" i="3" l="1"/>
  <c r="H90" i="3"/>
  <c r="D97" i="3" s="1"/>
  <c r="F37" i="7"/>
  <c r="F35" i="7"/>
  <c r="L130" i="1"/>
  <c r="L132" i="1" s="1"/>
  <c r="E88" i="3"/>
  <c r="F7" i="5"/>
  <c r="F3" i="5"/>
  <c r="K13" i="1"/>
  <c r="N128" i="1"/>
  <c r="N83" i="1"/>
  <c r="N86" i="1" s="1"/>
  <c r="N124" i="1"/>
  <c r="N131" i="1" s="1"/>
  <c r="N132" i="1" s="1"/>
  <c r="E83" i="5" l="1"/>
  <c r="I97" i="3"/>
  <c r="K97" i="3"/>
  <c r="B97" i="3"/>
  <c r="G97" i="3"/>
  <c r="E89" i="3"/>
  <c r="H131" i="1"/>
  <c r="H132" i="1" s="1"/>
  <c r="K83" i="5"/>
  <c r="K114" i="1"/>
  <c r="E85" i="5" l="1"/>
  <c r="F85" i="5" s="1"/>
  <c r="F89" i="3"/>
  <c r="G135" i="1"/>
  <c r="G134" i="1"/>
  <c r="M128" i="1"/>
  <c r="E87" i="5" l="1"/>
  <c r="F8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tc={8171E015-AEAA-4C1C-83EB-8E85FBAC0994}</author>
    <author>tc={1DA63C77-B8D8-484C-BAA7-91F9715D9751}</author>
    <author>Rick Alley</author>
    <author>tc={3DF73F91-49F3-49E0-9561-6940AEBCCBFC}</author>
    <author>tc={1E2F39D2-0A04-471D-A001-9CEC7E675C43}</author>
    <author>tc={01BF9FE3-82EA-4B29-BF42-65BA6A67C5FC}</author>
    <author>tc={8BBE64AC-E303-4EC5-BA6B-C32F703B2549}</author>
  </authors>
  <commentList>
    <comment ref="H37" authorId="0" shapeId="0" xr:uid="{8171E015-AEAA-4C1C-83EB-8E85FBAC099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Fund allocated by Murtha &amp; Murtha from State Revenue Sharing </t>
      </text>
    </comment>
    <comment ref="E41" authorId="1" shapeId="0" xr:uid="{1DA63C77-B8D8-484C-BAA7-91F9715D9751}">
      <text>
        <t>[Threaded comment]
Your version of Excel allows you to read this threaded comment; however, any edits to it will get removed if the file is opened in a newer version of Excel. Learn more: https://go.microsoft.com/fwlink/?linkid=870924
Comment:
    Lost revenue in FY 21-22 due to AFR filing</t>
      </text>
    </comment>
    <comment ref="G48" authorId="2" shapeId="0" xr:uid="{850CEE1A-79D6-437E-B77B-B8FFF98E475E}">
      <text>
        <r>
          <rPr>
            <b/>
            <sz val="9"/>
            <color rgb="FF000000"/>
            <rFont val="Tahoma"/>
            <family val="2"/>
          </rPr>
          <t>Rick Alley: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Allocation from County
</t>
        </r>
      </text>
    </comment>
    <comment ref="F49" authorId="2" shapeId="0" xr:uid="{D13B7297-3D41-4223-90E0-E4EF497E204C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Allocation from County
</t>
        </r>
      </text>
    </comment>
    <comment ref="F53" authorId="2" shapeId="0" xr:uid="{DA0030FA-0601-4080-B3A2-434A146BD2D5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3% Increase
</t>
        </r>
      </text>
    </comment>
    <comment ref="H54" authorId="3" shapeId="0" xr:uid="{3DF73F91-49F3-49E0-9561-6940AEBCCBFC}">
      <text>
        <t>[Threaded comment]
Your version of Excel allows you to read this threaded comment; however, any edits to it will get removed if the file is opened in a newer version of Excel. Learn more: https://go.microsoft.com/fwlink/?linkid=870924
Comment:
    No longer receiving as of FY 21-22</t>
      </text>
    </comment>
    <comment ref="H57" authorId="4" shapeId="0" xr:uid="{1E2F39D2-0A04-471D-A001-9CEC7E675C43}">
      <text>
        <t>[Threaded comment]
Your version of Excel allows you to read this threaded comment; however, any edits to it will get removed if the file is opened in a newer version of Excel. Learn more: https://go.microsoft.com/fwlink/?linkid=870924
Comment:
    $2715 per loan schedule, rounded for accounting purposes</t>
      </text>
    </comment>
    <comment ref="H62" authorId="5" shapeId="0" xr:uid="{01BF9FE3-82EA-4B29-BF42-65BA6A67C5FC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25 home permitted in Carmela, San Antonio Station, Al Mar</t>
      </text>
    </comment>
    <comment ref="H73" authorId="6" shapeId="0" xr:uid="{8BBE64AC-E303-4EC5-BA6B-C32F703B2549}">
      <text>
        <t>[Threaded comment]
Your version of Excel allows you to read this threaded comment; however, any edits to it will get removed if the file is opened in a newer version of Excel. Learn more: https://go.microsoft.com/fwlink/?linkid=870924
Comment:
    Selling extra tractor &amp; Chevy if replaced?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Alley</author>
    <author>tc={57204DAB-8E6F-4005-BB05-F75831A427B6}</author>
    <author>tc={ECF570EC-A562-47A3-8055-6E181D5F57FA}</author>
    <author>tc={7ED02389-4A38-4B26-981A-FE3BFF68339D}</author>
    <author>tc={3D2CA462-D51B-430B-ABDA-6F130A006F3D}</author>
    <author>tc={AD46EBAE-2EE8-4F7A-ADA0-8ACA5EE0B724}</author>
    <author>tc={C63E6119-986B-4229-AFFB-8A91C0FB6B07}</author>
    <author>tc={1A8DA00C-8BED-47CA-A7F2-35800CB93813}</author>
    <author>tc={B41F9E1E-CF57-4F7C-A842-9CA764DFACA5}</author>
    <author>tc={94D9392B-0C2C-472F-AD2B-52E743D33B02}</author>
    <author>tc={11A2777A-5EB2-4F20-A4A8-5F547B087979}</author>
  </authors>
  <commentList>
    <comment ref="E1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Misassigned EFTPS Payment</t>
        </r>
      </text>
    </comment>
    <comment ref="L14" authorId="1" shapeId="0" xr:uid="{57204DAB-8E6F-4005-BB05-F75831A427B6}">
      <text>
        <t>[Threaded comment]
Your version of Excel allows you to read this threaded comment; however, any edits to it will get removed if the file is opened in a newer version of Excel. Learn more: https://go.microsoft.com/fwlink/?linkid=870924
Comment:
    FRS Contribution Rate Increased to 11.91%</t>
      </text>
    </comment>
    <comment ref="L22" authorId="2" shapeId="0" xr:uid="{ECF570EC-A562-47A3-8055-6E181D5F57FA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22-23: 18500</t>
      </text>
    </comment>
    <comment ref="L24" authorId="3" shapeId="0" xr:uid="{7ED02389-4A38-4B26-981A-FE3BFF68339D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22-23:
Liability: 12000
Cyber Liability: 1000
Auto Liability: 1500</t>
      </text>
    </comment>
    <comment ref="L26" authorId="4" shapeId="0" xr:uid="{3D2CA462-D51B-430B-ABDA-6F130A006F3D}">
      <text>
        <t>[Threaded comment]
Your version of Excel allows you to read this threaded comment; however, any edits to it will get removed if the file is opened in a newer version of Excel. Learn more: https://go.microsoft.com/fwlink/?linkid=870924
Comment:
    FY 22-23:
Property: 8900
Auto: 1100</t>
      </text>
    </comment>
    <comment ref="L43" authorId="5" shapeId="0" xr:uid="{AD46EBAE-2EE8-4F7A-ADA0-8ACA5EE0B724}">
      <text>
        <t>[Threaded comment]
Your version of Excel allows you to read this threaded comment; however, any edits to it will get removed if the file is opened in a newer version of Excel. Learn more: https://go.microsoft.com/fwlink/?linkid=870924
Comment:
    Continued contract with CFRPC</t>
      </text>
    </comment>
    <comment ref="L55" authorId="6" shapeId="0" xr:uid="{C63E6119-986B-4229-AFFB-8A91C0FB6B07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at $11538</t>
      </text>
    </comment>
    <comment ref="L75" authorId="7" shapeId="0" xr:uid="{1A8DA00C-8BED-47CA-A7F2-35800CB9381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Mallory $60 monthly and Neuhofer $180 monthly + buffer</t>
      </text>
    </comment>
    <comment ref="L78" authorId="8" shapeId="0" xr:uid="{B41F9E1E-CF57-4F7C-A842-9CA764DFACA5}">
      <text>
        <t>[Threaded comment]
Your version of Excel allows you to read this threaded comment; however, any edits to it will get removed if the file is opened in a newer version of Excel. Learn more: https://go.microsoft.com/fwlink/?linkid=870924
Comment:
    FACC + IIMC + PCACC</t>
      </text>
    </comment>
    <comment ref="L81" authorId="9" shapeId="0" xr:uid="{94D9392B-0C2C-472F-AD2B-52E743D33B02}">
      <text>
        <t>[Threaded comment]
Your version of Excel allows you to read this threaded comment; however, any edits to it will get removed if the file is opened in a newer version of Excel. Learn more: https://go.microsoft.com/fwlink/?linkid=870924
Comment:
    MAP + FLC</t>
      </text>
    </comment>
    <comment ref="I98" authorId="10" shapeId="0" xr:uid="{11A2777A-5EB2-4F20-A4A8-5F547B087979}">
      <text>
        <t>[Threaded comment]
Your version of Excel allows you to read this threaded comment; however, any edits to it will get removed if the file is opened in a newer version of Excel. Learn more: https://go.microsoft.com/fwlink/?linkid=870924
Comment:
    Kubota, Mini Excavator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 Alley</author>
    <author>tc={A6ED344E-81E4-4F50-A2E9-43A1DB0820F9}</author>
    <author>tc={D4C96EB1-4B5E-4347-B643-1FB36B3DB3A5}</author>
    <author>tc={620BF1AF-F250-446D-8770-068774EFF44A}</author>
    <author>tc={E69AF895-6BCF-4C16-BA10-1014C80F9A79}</author>
    <author>tc={B956F60A-6230-4774-8064-EADD99784198}</author>
    <author>tc={A1C8F068-87E5-467C-8CC9-3FA541C5E9BF}</author>
    <author>tc={7A2EA557-C25B-4AD1-A1CF-B9330552D55F}</author>
    <author>tc={D0FCBF8D-DC20-4D8E-860E-2754A649D887}</author>
  </authors>
  <commentList>
    <comment ref="B25" authorId="0" shapeId="0" xr:uid="{5A4D70EB-8ED4-4BCA-A945-6F9883DE1B3B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Subtracted FDEP License Fee
</t>
        </r>
      </text>
    </comment>
    <comment ref="A32" authorId="1" shapeId="0" xr:uid="{A6ED344E-81E4-4F50-A2E9-43A1DB0820F9}">
      <text>
        <t>[Threaded comment]
Your version of Excel allows you to read this threaded comment; however, any edits to it will get removed if the file is opened in a newer version of Excel. Learn more: https://go.microsoft.com/fwlink/?linkid=870924
Comment:
    Murtha &amp; Murtha &amp; Bodine Perry</t>
      </text>
    </comment>
    <comment ref="A35" authorId="2" shapeId="0" xr:uid="{D4C96EB1-4B5E-4347-B643-1FB36B3DB3A5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Spectrum, Verizon, Ring Authority</t>
      </text>
    </comment>
    <comment ref="A38" authorId="3" shapeId="0" xr:uid="{620BF1AF-F250-446D-8770-068774EFF44A}">
      <text>
        <t>[Threaded comment]
Your version of Excel allows you to read this threaded comment; however, any edits to it will get removed if the file is opened in a newer version of Excel. Learn more: https://go.microsoft.com/fwlink/?linkid=870924
Comment:
    TECO</t>
      </text>
    </comment>
    <comment ref="A41" authorId="4" shapeId="0" xr:uid="{E69AF895-6BCF-4C16-BA10-1014C80F9A79}">
      <text>
        <t>[Threaded comment]
Your version of Excel allows you to read this threaded comment; however, any edits to it will get removed if the file is opened in a newer version of Excel. Learn more: https://go.microsoft.com/fwlink/?linkid=870924
Comment:
    Softline Support</t>
      </text>
    </comment>
    <comment ref="A42" authorId="5" shapeId="0" xr:uid="{B956F60A-6230-4774-8064-EADD99784198}">
      <text>
        <t>[Threaded comment]
Your version of Excel allows you to read this threaded comment; however, any edits to it will get removed if the file is opened in a newer version of Excel. Learn more: https://go.microsoft.com/fwlink/?linkid=870924
Comment:
    Mailings/Stamps, RICOH, Bill Cards</t>
      </text>
    </comment>
    <comment ref="A44" authorId="6" shapeId="0" xr:uid="{A1C8F068-87E5-467C-8CC9-3FA541C5E9BF}">
      <text>
        <t>[Threaded comment]
Your version of Excel allows you to read this threaded comment; however, any edits to it will get removed if the file is opened in a newer version of Excel. Learn more: https://go.microsoft.com/fwlink/?linkid=870924
Comment:
    TBT Legal Ads</t>
      </text>
    </comment>
    <comment ref="B44" authorId="0" shapeId="0" xr:uid="{0393DC24-AA15-4B39-BBE3-5864415960AA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DFS Unclaimed Property
</t>
        </r>
      </text>
    </comment>
    <comment ref="D51" authorId="0" shapeId="0" xr:uid="{1E6D6CD6-01E1-4B93-B57E-AE3D9CC5816A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Rosewood Improvement Project
</t>
        </r>
      </text>
    </comment>
    <comment ref="A52" authorId="7" shapeId="0" xr:uid="{7A2EA557-C25B-4AD1-A1CF-B9330552D55F}">
      <text>
        <t>[Threaded comment]
Your version of Excel allows you to read this threaded comment; however, any edits to it will get removed if the file is opened in a newer version of Excel. Learn more: https://go.microsoft.com/fwlink/?linkid=870924
Comment:
    Aclus Engineering &amp; Attorney</t>
      </text>
    </comment>
    <comment ref="B54" authorId="0" shapeId="0" xr:uid="{CEE992E6-CABD-4F58-A82D-0A7A5DEA9E24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Subtracted maintenance contract
</t>
        </r>
      </text>
    </comment>
    <comment ref="B60" authorId="0" shapeId="0" xr:uid="{561E014E-195F-4FC2-9FB3-A0AC94E9833A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Well 5 turbine
</t>
        </r>
      </text>
    </comment>
    <comment ref="B69" authorId="0" shapeId="0" xr:uid="{80A97699-831C-4967-B381-985C4034D175}">
      <text>
        <r>
          <rPr>
            <b/>
            <sz val="9"/>
            <color indexed="81"/>
            <rFont val="Tahoma"/>
            <family val="2"/>
          </rPr>
          <t>Rick Alley:</t>
        </r>
        <r>
          <rPr>
            <sz val="9"/>
            <color indexed="81"/>
            <rFont val="Tahoma"/>
            <family val="2"/>
          </rPr>
          <t xml:space="preserve">
Panel for new emergency dialer system</t>
        </r>
      </text>
    </comment>
    <comment ref="I102" authorId="8" shapeId="0" xr:uid="{D0FCBF8D-DC20-4D8E-860E-2754A649D887}">
      <text>
        <t>[Threaded comment]
Your version of Excel allows you to read this threaded comment; however, any edits to it will get removed if the file is opened in a newer version of Excel. Learn more: https://go.microsoft.com/fwlink/?linkid=870924
Comment:
    20 New Construction Accounts + Normal New Customers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tc={27B7B469-C6FE-4614-B111-248D5CA65F0E}</author>
    <author>tc={97E39038-B897-49B1-83C1-3FA2B3C80665}</author>
    <author>tc={77FBEF99-B7B0-4C09-A087-6C026D07CE2A}</author>
  </authors>
  <commentList>
    <comment ref="L6" authorId="0" shapeId="0" xr:uid="{27B7B469-C6FE-4614-B111-248D5CA65F0E}">
      <text>
        <t>[Threaded comment]
Your version of Excel allows you to read this threaded comment; however, any edits to it will get removed if the file is opened in a newer version of Excel. Learn more: https://go.microsoft.com/fwlink/?linkid=870924
Comment:
    Estimated 8% Increase for 2023</t>
      </text>
    </comment>
    <comment ref="L8" authorId="1" shapeId="0" xr:uid="{97E39038-B897-49B1-83C1-3FA2B3C80665}">
      <text>
        <t>[Threaded comment]
Your version of Excel allows you to read this threaded comment; however, any edits to it will get removed if the file is opened in a newer version of Excel. Learn more: https://go.microsoft.com/fwlink/?linkid=870924
Comment:
    FMIT = 76.5 monthly per employee</t>
      </text>
    </comment>
    <comment ref="F65" authorId="2" shapeId="0" xr:uid="{77FBEF99-B7B0-4C09-A087-6C026D07CE2A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 pay increase instead of % increase. Adjust formulas for FY 23/24</t>
      </text>
    </comment>
  </commentList>
</comments>
</file>

<file path=xl/sharedStrings.xml><?xml version="1.0" encoding="utf-8"?>
<sst xmlns="http://schemas.openxmlformats.org/spreadsheetml/2006/main" count="1004" uniqueCount="497">
  <si>
    <t xml:space="preserve">BUDGET SUMMARY  </t>
  </si>
  <si>
    <t>GENERAL FUND MILLAGE PER $1,000</t>
  </si>
  <si>
    <t>GENERAL</t>
  </si>
  <si>
    <t>ENTERPRISE</t>
  </si>
  <si>
    <t xml:space="preserve">TOTAL ALL </t>
  </si>
  <si>
    <t>ESTIMATED REVENUES</t>
  </si>
  <si>
    <t>FUND</t>
  </si>
  <si>
    <t>FUNDS</t>
  </si>
  <si>
    <t>AD VALOREM TAXES</t>
  </si>
  <si>
    <t>SALES &amp; USE TAXES</t>
  </si>
  <si>
    <t>CHARGES FOR SERVICES</t>
  </si>
  <si>
    <t>INTERGOVERNMENTAL REVENUES</t>
  </si>
  <si>
    <t>FINES &amp; FORFEITURES</t>
  </si>
  <si>
    <t>MISCELLANEOUS REVENUE</t>
  </si>
  <si>
    <t>LICENSES &amp; PERMITS</t>
  </si>
  <si>
    <t>INTERNAL SERVICE CHARGES</t>
  </si>
  <si>
    <t xml:space="preserve">ESTIMATED REVENUE </t>
  </si>
  <si>
    <t>RESERVES</t>
  </si>
  <si>
    <t>TOTAL ESTIMATED REVENUE &amp; BALANCES</t>
  </si>
  <si>
    <t>EXPENDITURES/EXPENSES</t>
  </si>
  <si>
    <t>GENERAL GOVERNMENT</t>
  </si>
  <si>
    <t>PUBLIC SAFETY</t>
  </si>
  <si>
    <t>PHYSICAL ENVIRONMENT</t>
  </si>
  <si>
    <t>TRANSPORTATION</t>
  </si>
  <si>
    <t>DEBT SERVICES</t>
  </si>
  <si>
    <t>HUMAN SERVICES</t>
  </si>
  <si>
    <t>ADMINISTRATIVE TECHNOLOGY SERVICES</t>
  </si>
  <si>
    <t>TOTAL EXPENDITURES</t>
  </si>
  <si>
    <t>TOTAL APPROPRIATED EXPENDITURES,</t>
  </si>
  <si>
    <t>RESERVES, &amp; BALANCES</t>
  </si>
  <si>
    <t xml:space="preserve"> THE TENTATIVE, ADOPTED, AND/OR FINAL BUDGETS ARE ON FILE</t>
  </si>
  <si>
    <t>IN THE OFFICE OF THE ABOVE MENTIONED TAXING AUTHORITY AS A PUBLIC RECORD.</t>
  </si>
  <si>
    <t>EMPLOYEE WAGES &amp; BENEFITS OCT. 2017 - JUNE 2018</t>
  </si>
  <si>
    <t>CURRENT FY 2017-2018 EMPLOYEES</t>
  </si>
  <si>
    <t>WAGES</t>
  </si>
  <si>
    <t>GENERAL FUND</t>
  </si>
  <si>
    <t>WATER FUND</t>
  </si>
  <si>
    <t>TOTALS</t>
  </si>
  <si>
    <t>PROJECTED EMPLOYEE WAGES &amp; BENEFITS 2018-19  -BASED ON 2017-18 RATES</t>
  </si>
  <si>
    <t>GROSS PAY</t>
  </si>
  <si>
    <t>City Clerk</t>
  </si>
  <si>
    <t>FRS (EMPLOYEE)</t>
  </si>
  <si>
    <t>FRS (CITY)</t>
  </si>
  <si>
    <t>24.04/HR</t>
  </si>
  <si>
    <t>FICA</t>
  </si>
  <si>
    <t>50,000/YR</t>
  </si>
  <si>
    <t>FIT</t>
  </si>
  <si>
    <t>MEDICAL*</t>
  </si>
  <si>
    <t>WORKERS COMP</t>
  </si>
  <si>
    <t>TOTAL CITY EXPENSES</t>
  </si>
  <si>
    <t>PREVIOUS FY 2017-2018 EMPLOYEES</t>
  </si>
  <si>
    <t>EMPLOYEE DEDUCTIONS</t>
  </si>
  <si>
    <t>EMPLOYEE NET PAY</t>
  </si>
  <si>
    <t>EMPLOYEE HOURLY WAGE</t>
  </si>
  <si>
    <t>Public Works Director</t>
  </si>
  <si>
    <t>19.95/HR</t>
  </si>
  <si>
    <t>Overtime</t>
  </si>
  <si>
    <t>WITHHOLDINGS</t>
  </si>
  <si>
    <t>ALL FY 2017-2018 EMPLOYEES</t>
  </si>
  <si>
    <t>Assistant to City Clerk</t>
  </si>
  <si>
    <t>12.00/HR</t>
  </si>
  <si>
    <t>14.50/hour</t>
  </si>
  <si>
    <t>*FMIT Dental,Vision, Life</t>
  </si>
  <si>
    <t>Individual</t>
  </si>
  <si>
    <t>*BCBS Insurance</t>
  </si>
  <si>
    <t>*BCBS Health</t>
  </si>
  <si>
    <t>Assistant</t>
  </si>
  <si>
    <t>Public Works Technician (Full Time)</t>
  </si>
  <si>
    <t>Public Works Department</t>
  </si>
  <si>
    <t>Water Clerk</t>
  </si>
  <si>
    <t>13.75/HR</t>
  </si>
  <si>
    <t>14.50/HR</t>
  </si>
  <si>
    <t>16.00/HR</t>
  </si>
  <si>
    <t>Public Works Technician (Part time)</t>
  </si>
  <si>
    <t>10.00/HR</t>
  </si>
  <si>
    <t>MEDICAL</t>
  </si>
  <si>
    <t>Meter Reader</t>
  </si>
  <si>
    <t>METER READER</t>
  </si>
  <si>
    <t>Former City Clerk</t>
  </si>
  <si>
    <t>23.91/HR</t>
  </si>
  <si>
    <t>Totals</t>
  </si>
  <si>
    <t>Total Salaries</t>
  </si>
  <si>
    <t>Worker's Comp</t>
  </si>
  <si>
    <t>Total Overtime</t>
  </si>
  <si>
    <t>Medical</t>
  </si>
  <si>
    <t>Former Public Works Employee</t>
  </si>
  <si>
    <t>12.13/HR</t>
  </si>
  <si>
    <t>MEDICAL INS</t>
  </si>
  <si>
    <t>WORKERS COMP INS</t>
  </si>
  <si>
    <t>Former Public Works Director</t>
  </si>
  <si>
    <t>21.15/HR</t>
  </si>
  <si>
    <t>Former Public Works Part Time</t>
  </si>
  <si>
    <t>10.30/HR</t>
  </si>
  <si>
    <t>FRS(CITY)</t>
  </si>
  <si>
    <t>Former Administrative Assistant</t>
  </si>
  <si>
    <t>11.33/HR</t>
  </si>
  <si>
    <t>City of San Antonio 
Budget 2022-2023</t>
  </si>
  <si>
    <t>Through 6/30/2022</t>
  </si>
  <si>
    <t>Extrapolated
2021-2022</t>
  </si>
  <si>
    <t>Budgeted
2021-2022</t>
  </si>
  <si>
    <t>Adjusted COVID-19</t>
  </si>
  <si>
    <t>Proposed FY 2022-2023</t>
  </si>
  <si>
    <t>Millage Rate Comparison</t>
  </si>
  <si>
    <t xml:space="preserve">REVENUE - GENERAL </t>
  </si>
  <si>
    <t>75k Homestead Deduction</t>
  </si>
  <si>
    <t>Rolled-Back Rate</t>
  </si>
  <si>
    <t>Max Millage</t>
  </si>
  <si>
    <t>Millage Rate</t>
  </si>
  <si>
    <t>Carryover From Previous Year</t>
  </si>
  <si>
    <t>311.000 - Property Taxes</t>
  </si>
  <si>
    <t>ARPA Funds</t>
  </si>
  <si>
    <t>331.000 - ARPA Funds</t>
  </si>
  <si>
    <t>FRANCHISE FEES</t>
  </si>
  <si>
    <t>313.100  Franchise Fee - Electric</t>
  </si>
  <si>
    <t xml:space="preserve">Prior Year </t>
  </si>
  <si>
    <t>313.200  Franchise Fee - Telephone</t>
  </si>
  <si>
    <t>Rolled-Back</t>
  </si>
  <si>
    <t>313.500  Franchise Fee - Cablevision</t>
  </si>
  <si>
    <t>323.100  Franchise Fee - Elect</t>
  </si>
  <si>
    <t>323.400 Franchise Fee - Gas</t>
  </si>
  <si>
    <t xml:space="preserve">Current Year </t>
  </si>
  <si>
    <t>Franchise Fees - Trash</t>
  </si>
  <si>
    <t>329.100 - Other Permits, Fees, &amp; Assignments</t>
  </si>
  <si>
    <t>BUSINESS TAX RECEIPTS-CITY</t>
  </si>
  <si>
    <t>316.100 - City Business Taxes (New)</t>
  </si>
  <si>
    <t>Gross Taxable Value   2021</t>
  </si>
  <si>
    <t xml:space="preserve"> </t>
  </si>
  <si>
    <t>321.000 City Occupational License</t>
  </si>
  <si>
    <t>BUSINESS TAX RECEIPTS-COUNTY</t>
  </si>
  <si>
    <t>338.200 - County Business tax</t>
  </si>
  <si>
    <t>BUILDING REVIEW FEES</t>
  </si>
  <si>
    <t>322.000 Building Permits</t>
  </si>
  <si>
    <t>ALCOHOLIC BEVERAGE LICENSE FEES</t>
  </si>
  <si>
    <t>335.150 Alcoholic Beverage License</t>
  </si>
  <si>
    <t>COMMUNICATIONS SERVICES TAX</t>
  </si>
  <si>
    <t>315.100 - Local Communications Tax</t>
  </si>
  <si>
    <t>STATE REVENUE SHARING</t>
  </si>
  <si>
    <t>334.360 - SWFWMD Grant</t>
  </si>
  <si>
    <t>334.700 - State Historic Preservation Grant</t>
  </si>
  <si>
    <t>General</t>
  </si>
  <si>
    <t>Water</t>
  </si>
  <si>
    <t>334.710 Historic Mitigation Grant</t>
  </si>
  <si>
    <t>334.900 - Other State Grants</t>
  </si>
  <si>
    <t>335.110 - 2-Cent Cigarette Tax</t>
  </si>
  <si>
    <t>335.120 - State Revenue Sharing</t>
  </si>
  <si>
    <t>335.122 - State Revenue Sharing 8th Cent Fuel/Special Fuel</t>
  </si>
  <si>
    <t>MOBILE HOME TAXES</t>
  </si>
  <si>
    <t>335.140 - Mobile Home License</t>
  </si>
  <si>
    <t>HALF CENT SALES TAX</t>
  </si>
  <si>
    <t>335.180 - Local Gov't Half Cent Sales tax</t>
  </si>
  <si>
    <t>1st LOCAL OPTION GASOLINE TAX (0.06/gal)</t>
  </si>
  <si>
    <t>312.400 - Local Option Gas Tax (6 Cent)</t>
  </si>
  <si>
    <t>312.410 - County 6 Cent Gas Tax - Old</t>
  </si>
  <si>
    <t>312.420 - Local Alternative Fuels</t>
  </si>
  <si>
    <t>2nd LOCAL OPTION GASOLINE TAX (0.05/gal)</t>
  </si>
  <si>
    <t>312.401 - Local Option Gas Tax (5 Cent)</t>
  </si>
  <si>
    <t xml:space="preserve">CDBG </t>
  </si>
  <si>
    <t>331.500 - Grants CDBG</t>
  </si>
  <si>
    <t>PENNY FOR PASCO</t>
  </si>
  <si>
    <t>312.100 - Penny For Pasco - Old</t>
  </si>
  <si>
    <t>312.600 - Penny For Pasco</t>
  </si>
  <si>
    <t>TRAFFIC FINES</t>
  </si>
  <si>
    <t>351.100 - Court Fees &amp; Fines</t>
  </si>
  <si>
    <t>INTEREST</t>
  </si>
  <si>
    <t>361.100 - Interest Income - General</t>
  </si>
  <si>
    <t>Interest from Loan to Water Fund</t>
  </si>
  <si>
    <t>SHERIFF'S OFFICE LEASE</t>
  </si>
  <si>
    <t>362.300 - Building Rental - Sheriff's Office</t>
  </si>
  <si>
    <t>UTILITY MANAGEMENT FEE</t>
  </si>
  <si>
    <t>369.400 - Transfers From Water Fund</t>
  </si>
  <si>
    <t>IMPACT FEES</t>
  </si>
  <si>
    <t>363.240 Transportation Impact fees</t>
  </si>
  <si>
    <t>369.100 - School Admin Fee Revenues</t>
  </si>
  <si>
    <t>DONATIONS</t>
  </si>
  <si>
    <t>366.100 - Contributions and Donations</t>
  </si>
  <si>
    <t>366.105 - Donations - Veterans Day Event</t>
  </si>
  <si>
    <t>366.110 - Veterans Monument Fund - Donations</t>
  </si>
  <si>
    <t>366.120 Contributions &amp; Donations - Playground</t>
  </si>
  <si>
    <t>366.121 - Norman Morris Applalachian Hike - Park Equip.</t>
  </si>
  <si>
    <t>366.122 - Playground Equipment Concert Donations</t>
  </si>
  <si>
    <t>MISCELLANEOUS</t>
  </si>
  <si>
    <t>364.400 Surplus Property Sales</t>
  </si>
  <si>
    <t>369.490 - Lake Project Receipts</t>
  </si>
  <si>
    <t>369.500 - Crime Watch/ Vandalism Fund</t>
  </si>
  <si>
    <t>369.900 - Miscellaneous Revenue</t>
  </si>
  <si>
    <t>381.900 - Loan Payment Fm Water Fund</t>
  </si>
  <si>
    <t>384.100 - Debt Proceeds</t>
  </si>
  <si>
    <t>389.400 - Depot Receipts</t>
  </si>
  <si>
    <t>389.901 - Reserves (Depot)</t>
  </si>
  <si>
    <t>TOTAL ESTIMATED REVENUE &amp; RESERVES</t>
  </si>
  <si>
    <t>Total Expenditures</t>
  </si>
  <si>
    <t>Net Reserves</t>
  </si>
  <si>
    <t>Budget Revenues Vs Expenditures</t>
  </si>
  <si>
    <t>Millage rates, Ad Valorem, and Revenues vs Expenditures</t>
  </si>
  <si>
    <t>What if?</t>
  </si>
  <si>
    <t>GENERAL FUND
EXPENSES</t>
  </si>
  <si>
    <t>2016-2017 
Actual</t>
  </si>
  <si>
    <t>2017-2018  Budget</t>
  </si>
  <si>
    <t>2017-2018 Through  6/30</t>
  </si>
  <si>
    <t>2017-2018 Extrapolated</t>
  </si>
  <si>
    <t>Difference</t>
  </si>
  <si>
    <t>Through
06/30/2022</t>
  </si>
  <si>
    <t>Proposed
2022-2023</t>
  </si>
  <si>
    <t>Proposed Wage Increase</t>
  </si>
  <si>
    <t xml:space="preserve">WAGES (INCLUDES ACCRUED BENEFITS PAYOUT)         </t>
  </si>
  <si>
    <t>513.120 - Financial/Adminstr Salaries</t>
  </si>
  <si>
    <t>Increase in Salaries</t>
  </si>
  <si>
    <t>541.120 - Street Department Salaries</t>
  </si>
  <si>
    <t>572.120 - Salaries - Parks</t>
  </si>
  <si>
    <t>513.250 - Reemployment Tax</t>
  </si>
  <si>
    <t>0</t>
  </si>
  <si>
    <t xml:space="preserve">513.140 - Overtime </t>
  </si>
  <si>
    <t>512.140 - Overtime - Parks/Recreation</t>
  </si>
  <si>
    <t>512.140 - Overtime - Street Dept</t>
  </si>
  <si>
    <t>FLORIDA RETIREMENT SYSTEM</t>
  </si>
  <si>
    <t>512.220 - FL Retire Sys Contrib</t>
  </si>
  <si>
    <t>512.210 - Payroll Taxes - Clerk, Etc.</t>
  </si>
  <si>
    <t>HEALTH INSURANCE</t>
  </si>
  <si>
    <t>512.230 - Group Health Insurance</t>
  </si>
  <si>
    <t>512.231 - Life Insurance</t>
  </si>
  <si>
    <t>512.232 - Supplemental Insurance</t>
  </si>
  <si>
    <t>WORKERS' COMPENSATION INSURANCE</t>
  </si>
  <si>
    <t>513.451 - Insurance - Workers Comp</t>
  </si>
  <si>
    <t>MUNICIPAL LIABILITY INSURANCE</t>
  </si>
  <si>
    <t>513.450 - Insurance - Liability</t>
  </si>
  <si>
    <t>MUNICIPAL PROPERTY &amp; AUTO INSURANCE</t>
  </si>
  <si>
    <t>513.452 - Insurance - Property &amp; Auto</t>
  </si>
  <si>
    <t>AUDIT FEE/FISCAL ASSIST.</t>
  </si>
  <si>
    <t>513.320 - Audit Fee/Bookkeeping</t>
  </si>
  <si>
    <t>GENERAL ADMINISTRATION</t>
  </si>
  <si>
    <t>513.340 - General Administration</t>
  </si>
  <si>
    <t>513.430 Water Usage by City</t>
  </si>
  <si>
    <t>513.640 - Capital Outlay - Fin and Admin</t>
  </si>
  <si>
    <t xml:space="preserve"> $-   </t>
  </si>
  <si>
    <t>511.345 -  Election Expense</t>
  </si>
  <si>
    <t>512.521 - Uniforms</t>
  </si>
  <si>
    <t>514.342 - Comp Plan</t>
  </si>
  <si>
    <t>581.900 - Loan to Water Fund</t>
  </si>
  <si>
    <t>513.520 Technology</t>
  </si>
  <si>
    <t>Unexplained - Need to Reconcile</t>
  </si>
  <si>
    <t>CITY ATTORNEY</t>
  </si>
  <si>
    <t>514.312 - City Attorney</t>
  </si>
  <si>
    <t>514.313 - Attorney Special Reserve</t>
  </si>
  <si>
    <t>PLANNING CONSULTANT</t>
  </si>
  <si>
    <t>514.345 - Planning Consultant</t>
  </si>
  <si>
    <t>ENGINEERING CONSULTANT</t>
  </si>
  <si>
    <t>514.344 - Engineering Consultant</t>
  </si>
  <si>
    <t>LAW ENFORCEMENT</t>
  </si>
  <si>
    <t>521.341 - Law Enforcement</t>
  </si>
  <si>
    <t>CODIFICATION</t>
  </si>
  <si>
    <t>514.346 - Codification of Ordinances</t>
  </si>
  <si>
    <t>TRUCK AND TRACTOR MAINTENANCE</t>
  </si>
  <si>
    <t>541.560 - Vehicle &amp; Equipment Repairs</t>
  </si>
  <si>
    <t>STREET LIGHTS</t>
  </si>
  <si>
    <t>541.430 - Street Lights</t>
  </si>
  <si>
    <t>ANIMAL CONTROL</t>
  </si>
  <si>
    <t>521.342 - Animal Control</t>
  </si>
  <si>
    <t>R.O.W. &amp; DITCH MAINT., SIGNS</t>
  </si>
  <si>
    <t>541.341 Ditch Maintenance</t>
  </si>
  <si>
    <t>541.531 - Street Marking Signs</t>
  </si>
  <si>
    <t>STREET REPAIR &amp; TREE PRUNING</t>
  </si>
  <si>
    <t>541.530 - Street Repair</t>
  </si>
  <si>
    <t>541.533 - Street Trees Pruning and Removal</t>
  </si>
  <si>
    <t>CDBG</t>
  </si>
  <si>
    <t>541.450 - CDBG Grant Expenditures</t>
  </si>
  <si>
    <t>PARKS MAINTENANCE</t>
  </si>
  <si>
    <t>572.460 - Parks Maintenance</t>
  </si>
  <si>
    <t>17889.14</t>
  </si>
  <si>
    <t>PARKS CAPITAL IMPROVEMENTS</t>
  </si>
  <si>
    <t>572.640 - Capital Purchases - Parks</t>
  </si>
  <si>
    <t>572.647 - Veteran's Monument-Capital</t>
  </si>
  <si>
    <t>572.649 - Parks Beautification-Capital</t>
  </si>
  <si>
    <t>572..490 - Lake Project Expense</t>
  </si>
  <si>
    <t>572.630 - ADA Improvements in City Park</t>
  </si>
  <si>
    <t>PARK LAWN MAINTENANCE</t>
  </si>
  <si>
    <t>572.461 - Parks Lawn Service Maintenance</t>
  </si>
  <si>
    <t>TRAINING &amp; SEMINARS (STAFF)</t>
  </si>
  <si>
    <t>513.408 - Training and Seminars - Staff</t>
  </si>
  <si>
    <t>513.541 - Dues - Fin/Admin</t>
  </si>
  <si>
    <t>CONFERENCES (COMMISSIONERS)</t>
  </si>
  <si>
    <t>531.409 - League of Cities Convention</t>
  </si>
  <si>
    <t>513.542 Association Dues</t>
  </si>
  <si>
    <t>CONTINGENCY/EMERGENCY/REPAIRS</t>
  </si>
  <si>
    <t>514.314 - SLU Legal Contingency Fund</t>
  </si>
  <si>
    <t>534.940 - Contingency</t>
  </si>
  <si>
    <t>590.901 - Reserves Contingency</t>
  </si>
  <si>
    <t>NPDES/MS 4</t>
  </si>
  <si>
    <t>514.341 - Pasco County NPDES( MS4)</t>
  </si>
  <si>
    <t>541.532 - Street Repair-NPDES/MS4</t>
  </si>
  <si>
    <t>HONORARIUM FOR COMMISSIONERS</t>
  </si>
  <si>
    <t>512.110 - Commissioners' Pay</t>
  </si>
  <si>
    <t>LEGAL ADVERTISING</t>
  </si>
  <si>
    <t>512.470 - Legal Advertising</t>
  </si>
  <si>
    <t>REPAIR &amp; REPAINT RAILROAD CABOOSE</t>
  </si>
  <si>
    <t>572.646 - Depot Restoration-Capital</t>
  </si>
  <si>
    <t>572.648 - Caboose Restoration Capital</t>
  </si>
  <si>
    <t>CAPITAL PURCHASES</t>
  </si>
  <si>
    <t>541.642 - Capital Purchases -</t>
  </si>
  <si>
    <t>541.641 - Capital Purchase - Equipment</t>
  </si>
  <si>
    <t>STREET &amp; DRAINAGE PROJECTS/CAPITAL</t>
  </si>
  <si>
    <t>541.640 - Capital Purchases - Streets</t>
  </si>
  <si>
    <t>514.343 - City Survey</t>
  </si>
  <si>
    <t>534.700- Debt Service Street Capital Loan</t>
  </si>
  <si>
    <t>541.700 - Debt Service Street Capital Loan</t>
  </si>
  <si>
    <t>572.495 - Hazard Mitigation</t>
  </si>
  <si>
    <t>SIDEWALK CAPITAL IMPROVEMENTS</t>
  </si>
  <si>
    <t>541.643 - Capital Purchases - Sidewalks</t>
  </si>
  <si>
    <t>CODE COMPLIANCE</t>
  </si>
  <si>
    <t>521.345 - Code Compliance Officer</t>
  </si>
  <si>
    <t>521.346 - Crime Watch</t>
  </si>
  <si>
    <t>FIRE STATION</t>
  </si>
  <si>
    <t>522.341 - Fire Department</t>
  </si>
  <si>
    <t>522.640 - Fire Station Capital Expenditure</t>
  </si>
  <si>
    <t>FUND BALANCES</t>
  </si>
  <si>
    <t>Checking Accounts</t>
  </si>
  <si>
    <t>General Fund Checking 1320</t>
  </si>
  <si>
    <t>School Impact Fee Account</t>
  </si>
  <si>
    <t>Certificates of Deposit</t>
  </si>
  <si>
    <t>0118 - 12 Month PF</t>
  </si>
  <si>
    <t>0233 - 12 Months PF</t>
  </si>
  <si>
    <t>3147 - 12 Month PF</t>
  </si>
  <si>
    <t>current emp pay</t>
  </si>
  <si>
    <t>3233 - 59 Month PF</t>
  </si>
  <si>
    <t>3235 59 Month PF</t>
  </si>
  <si>
    <t>revenue baseline</t>
  </si>
  <si>
    <t>3356 - 9 Month PF</t>
  </si>
  <si>
    <t>FUND BALANCES/RESERVES</t>
  </si>
  <si>
    <t>Emp pay baseline</t>
  </si>
  <si>
    <t>TOTAL EXP. &amp; RESERVES</t>
  </si>
  <si>
    <t>rev minus baseline</t>
  </si>
  <si>
    <t>Revenue Sheet Totals</t>
  </si>
  <si>
    <t>salary minus baseline</t>
  </si>
  <si>
    <t>difference</t>
  </si>
  <si>
    <t>Funds In Transit</t>
  </si>
  <si>
    <t>Unexplained difference</t>
  </si>
  <si>
    <t>WATER DEPARTMENT
EXPENSES AND REVENUE</t>
  </si>
  <si>
    <t>2016-2017 Actual</t>
  </si>
  <si>
    <t>Through
6/30/2022</t>
  </si>
  <si>
    <t>Budget vs. Extrapolated</t>
  </si>
  <si>
    <t>Approved
2021-2022</t>
  </si>
  <si>
    <t>EXPENSES</t>
  </si>
  <si>
    <t>534.100 - Salaries And Wages</t>
  </si>
  <si>
    <t>534.110 - Additional Salary and Wage Cost</t>
  </si>
  <si>
    <t>534.140 - Overtime</t>
  </si>
  <si>
    <t xml:space="preserve">FLORIDA RETIREMENT SYSTEM </t>
  </si>
  <si>
    <t>534.220 - Florida Retirement System Contr</t>
  </si>
  <si>
    <t>Auto</t>
  </si>
  <si>
    <t>Liability</t>
  </si>
  <si>
    <t>Workers</t>
  </si>
  <si>
    <t>Dent VisLife</t>
  </si>
  <si>
    <t>Property</t>
  </si>
  <si>
    <t xml:space="preserve">FICA </t>
  </si>
  <si>
    <t>534.210 - Payroll Taxes</t>
  </si>
  <si>
    <t>534.230 - Group Health Insurance</t>
  </si>
  <si>
    <t>534.231 - Short-term Disability</t>
  </si>
  <si>
    <t>WORKERS' COMPENSATION INS.</t>
  </si>
  <si>
    <t>534.450 - Insurance</t>
  </si>
  <si>
    <t>CHRISTMAS BONUS (Thanksgiving)</t>
  </si>
  <si>
    <t>PROPERTY, AUTO &amp; MACHINERY INS.</t>
  </si>
  <si>
    <t>LIABILITY INSURANCE</t>
  </si>
  <si>
    <t>POWER FOR PUMP</t>
  </si>
  <si>
    <t>534.430 - Utilities</t>
  </si>
  <si>
    <t>WATER PLANT OPERATION</t>
  </si>
  <si>
    <t>534.521 - Water Plant Operation Expense</t>
  </si>
  <si>
    <t>MANAGEMENT/UTILITY FEE</t>
  </si>
  <si>
    <t>Water Fund</t>
  </si>
  <si>
    <t xml:space="preserve">    OFFICE AREA (249.75 Sq. Ft.)</t>
  </si>
  <si>
    <t>General Fund</t>
  </si>
  <si>
    <t>207.100 Due To General Fund</t>
  </si>
  <si>
    <t>534.490 - Management Fee (Office Lease)</t>
  </si>
  <si>
    <t xml:space="preserve">    AUDIT &amp; BOOKKEEPING FEES</t>
  </si>
  <si>
    <t>534.340 - Professional Services</t>
  </si>
  <si>
    <t>534.511 - Office Supplies and Expense</t>
  </si>
  <si>
    <t xml:space="preserve">    ELECTRICITY</t>
  </si>
  <si>
    <t>COMPUTER SUPPLIES &amp; POSTAGE</t>
  </si>
  <si>
    <t>534.513 - Technology</t>
  </si>
  <si>
    <t>534.512 -  Computer Supplies &amp; Postage</t>
  </si>
  <si>
    <t>TESTING &amp; MISCELLANEOUS</t>
  </si>
  <si>
    <t>534.491 - Miscellaneous</t>
  </si>
  <si>
    <t>534.522 - Uniforms</t>
  </si>
  <si>
    <t>534.523 - Testing</t>
  </si>
  <si>
    <t>534.550 - Bad Debts</t>
  </si>
  <si>
    <t>534.710 - Gain (Loss) on Asset Sale</t>
  </si>
  <si>
    <t>534.910 -  Loan Payments to General Fund</t>
  </si>
  <si>
    <t>534.950 Increased Reserves</t>
  </si>
  <si>
    <t>PROFESSIONAL SERVICES</t>
  </si>
  <si>
    <t>WATERWORKS MAINTENANCE</t>
  </si>
  <si>
    <t>534.460 - Repairs and Maintenance</t>
  </si>
  <si>
    <t>534.524 - Cross Connections</t>
  </si>
  <si>
    <t>EMERGENCY REPAIR/RESERVES</t>
  </si>
  <si>
    <t>Depreciation</t>
  </si>
  <si>
    <t>534.950 -  Increased Reserves</t>
  </si>
  <si>
    <t>EMERGENCY REPAIRS</t>
  </si>
  <si>
    <t>534.461 - Emergency Repairs</t>
  </si>
  <si>
    <t>DEBT SERVICE</t>
  </si>
  <si>
    <t xml:space="preserve">534.700 - Debt Service </t>
  </si>
  <si>
    <t>101.402 - Reserve Fund</t>
  </si>
  <si>
    <t>101.403 -  Sinking Fund</t>
  </si>
  <si>
    <t>207.101 Water Fund Water Line Loan Principal</t>
  </si>
  <si>
    <t>207.101 Water Fund Water Line Loan Interest</t>
  </si>
  <si>
    <t>CAPITAL PROJECTS</t>
  </si>
  <si>
    <t>534.640 - Capital Purchases</t>
  </si>
  <si>
    <t>ANNUAL PAYMENT FOR SCHOOL WELLS</t>
  </si>
  <si>
    <t>241.200 - Due To School District</t>
  </si>
  <si>
    <t>DEP DRINKING WATER LICENSE</t>
  </si>
  <si>
    <t>Water Line Upgrade</t>
  </si>
  <si>
    <t>SERVICE VEHICLE PURCHASE</t>
  </si>
  <si>
    <t>ELEVATED TANK MAINTENANCE CONTRACT</t>
  </si>
  <si>
    <t>ASSOCIATION DUES</t>
  </si>
  <si>
    <t>534.411 - Training and Seminars</t>
  </si>
  <si>
    <t>534.541 - Dues</t>
  </si>
  <si>
    <t>METER READER TRAVEL</t>
  </si>
  <si>
    <t>534.400 - Travel</t>
  </si>
  <si>
    <t>TOTAL EXPENSES</t>
  </si>
  <si>
    <t>CAPITAL IMPROVEMENT FUND (RESERVES)</t>
  </si>
  <si>
    <t>TOTAL EXPENSES &amp; RESERVES</t>
  </si>
  <si>
    <t>REVENUE:</t>
  </si>
  <si>
    <t>361.100 - Interest Income</t>
  </si>
  <si>
    <t>534.440 - Interest Bonds</t>
  </si>
  <si>
    <t>534.441 - Interest School Board</t>
  </si>
  <si>
    <t>534.445 - Interest Expense</t>
  </si>
  <si>
    <t>BILLED WATER SERVICE</t>
  </si>
  <si>
    <t>343.300 - Water Billings</t>
  </si>
  <si>
    <t>Water billed to City</t>
  </si>
  <si>
    <t>343.302 - Advanced Payments - Water</t>
  </si>
  <si>
    <t>TAP-IN AND BACKFLOW CHARGES</t>
  </si>
  <si>
    <t>343.301 - Tap-in Fees</t>
  </si>
  <si>
    <t>343.310 - Backflow Meter installations</t>
  </si>
  <si>
    <t>ACCOUNT SET UP FEES</t>
  </si>
  <si>
    <t>343.303 - Turn On Fees</t>
  </si>
  <si>
    <t>369.100 - Tower Rents</t>
  </si>
  <si>
    <t>369.200 - Other Income</t>
  </si>
  <si>
    <t>381.900 - Loan Proceeds - From General Fund</t>
  </si>
  <si>
    <t>Professional Services</t>
  </si>
  <si>
    <t>389.901 - Other Financing Sources</t>
  </si>
  <si>
    <t>TOTAL REVENUE</t>
  </si>
  <si>
    <t>CASH AND CERTIFICATE OF DEPOSITS:</t>
  </si>
  <si>
    <t>WATER FUND BALANCES</t>
  </si>
  <si>
    <t>DDA-####1333 Checking</t>
  </si>
  <si>
    <t>DDA-####1157 Sinking</t>
  </si>
  <si>
    <t>DDA-####1160 Reserve</t>
  </si>
  <si>
    <t>CDs</t>
  </si>
  <si>
    <t>CD ####3234</t>
  </si>
  <si>
    <t>CD ####3236</t>
  </si>
  <si>
    <t>CD ####3237</t>
  </si>
  <si>
    <t>CD ####0202</t>
  </si>
  <si>
    <t>TOTAL RESERVES</t>
  </si>
  <si>
    <t>TOTAL REVENUE &amp; RESERVES</t>
  </si>
  <si>
    <t>RESTRICTED FUNDS</t>
  </si>
  <si>
    <t>Capacity fees - Enterprise ####1017</t>
  </si>
  <si>
    <t>DEPOSITS AND REFUNDS</t>
  </si>
  <si>
    <t>220.100 - Customer Deposits and Refunds</t>
  </si>
  <si>
    <t>GRAND TOTAL - REVENUES AND RESERVES</t>
  </si>
  <si>
    <t>Employee Wages &amp; Benefits</t>
  </si>
  <si>
    <t>FY 21-22</t>
  </si>
  <si>
    <t>FY 22-23</t>
  </si>
  <si>
    <t>City Clerk (Salary)</t>
  </si>
  <si>
    <t>21-22</t>
  </si>
  <si>
    <t>PAY INCREASE</t>
  </si>
  <si>
    <t>22-23</t>
  </si>
  <si>
    <t>Health, Dental, Vision, Life Premiums</t>
  </si>
  <si>
    <t>Rate</t>
  </si>
  <si>
    <t>CLERK</t>
  </si>
  <si>
    <t>PW DIRECT</t>
  </si>
  <si>
    <t>ASST. CLERK</t>
  </si>
  <si>
    <t>PW TECH</t>
  </si>
  <si>
    <t>PW TECH 2</t>
  </si>
  <si>
    <t>WATER</t>
  </si>
  <si>
    <t>Base Pay</t>
  </si>
  <si>
    <t>2022 Rate</t>
  </si>
  <si>
    <t>2023 Rate</t>
  </si>
  <si>
    <t>BCBS Total</t>
  </si>
  <si>
    <t>FICA/Medicare</t>
  </si>
  <si>
    <t>BCBS + FMIT</t>
  </si>
  <si>
    <t>Workers Comp</t>
  </si>
  <si>
    <t>Short Term - Colonial</t>
  </si>
  <si>
    <t>Short Term Disability</t>
  </si>
  <si>
    <t>FRS</t>
  </si>
  <si>
    <t>WC Admin</t>
  </si>
  <si>
    <t>WC PW</t>
  </si>
  <si>
    <t>Public Works Director (Hourly)</t>
  </si>
  <si>
    <t>Assistant to City Clerk (Hourly)</t>
  </si>
  <si>
    <t>Public Works Technician (Hourly)</t>
  </si>
  <si>
    <t>Water Clerk (Hourly)</t>
  </si>
  <si>
    <t>Total Base Pay</t>
  </si>
  <si>
    <t>Total Estimated Wages</t>
  </si>
  <si>
    <t>Total City Expenses</t>
  </si>
  <si>
    <t>Medical (before 5% estimated increase)</t>
  </si>
  <si>
    <t>Medical (after 5% estimated increase)</t>
  </si>
  <si>
    <t>Stormwater Grant</t>
  </si>
  <si>
    <t>Sewer Grant</t>
  </si>
  <si>
    <t>City Hall/Fire Station Grant</t>
  </si>
  <si>
    <t>Office Supplies</t>
  </si>
  <si>
    <t>CITY OF SAN ANTONIO - FISCAL YEAR 2022 - 2023</t>
  </si>
  <si>
    <t>Water Fund Loan</t>
  </si>
  <si>
    <t>Curley Street Repairs - Principle</t>
  </si>
  <si>
    <t>THE PROPOSED OPERATING BUDGET EXPENDITURES OF THE CITY OF SAN ANTONIO ARE 100.7% MORE THAN LAST YEARS TOTAL OPERATING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</si>
</sst>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&quot;$&quot;#,##0"/>
    <numFmt numFmtId="166" formatCode="_(&quot;$&quot;* #,##0_);_(&quot;$&quot;* \(#,##0\);_(&quot;$&quot;* &quot;-&quot;??_);_(@_)"/>
    <numFmt numFmtId="167" formatCode="0.0000"/>
    <numFmt numFmtId="168" formatCode="&quot;$&quot;#,##0.00"/>
    <numFmt numFmtId="169" formatCode="&quot;$&quot;#,##0.00;[Red]&quot;$&quot;#,##0.00"/>
    <numFmt numFmtId="170" formatCode="#,##0.0"/>
    <numFmt numFmtId="171" formatCode="0.0%"/>
    <numFmt numFmtId="172" formatCode="_([$$-409]* #,##0_);_([$$-409]* \(#,##0\);_([$$-409]* &quot;-&quot;??_);_(@_)"/>
    <numFmt numFmtId="173" formatCode="#,##0.000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sz val="14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6"/>
      <color theme="4" tint="-0.49998474074526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5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b/>
      <sz val="15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sz val="14"/>
      <color theme="9" tint="-0.499984740745262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3"/>
      <color theme="0" tint="-4.9989318521683403E-2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3"/>
      <name val="Calibri"/>
      <family val="2"/>
      <scheme val="minor"/>
    </font>
    <font>
      <sz val="13"/>
      <color rgb="FF7030A0"/>
      <name val="Calibri"/>
      <family val="2"/>
      <scheme val="minor"/>
    </font>
    <font>
      <sz val="13"/>
      <color theme="9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sz val="14"/>
      <color rgb="FF7030A0"/>
      <name val="Calibri"/>
      <family val="2"/>
      <scheme val="minor"/>
    </font>
    <font>
      <sz val="15"/>
      <color theme="3"/>
      <name val="Calibri"/>
      <family val="2"/>
      <scheme val="minor"/>
    </font>
    <font>
      <sz val="15"/>
      <color rgb="FF7030A0"/>
      <name val="Calibri"/>
      <family val="2"/>
      <scheme val="minor"/>
    </font>
    <font>
      <sz val="15"/>
      <color theme="9" tint="-0.499984740745262"/>
      <name val="Calibri"/>
      <family val="2"/>
      <scheme val="minor"/>
    </font>
    <font>
      <sz val="16"/>
      <color rgb="FF7030A0"/>
      <name val="Times New Roman"/>
      <family val="1"/>
    </font>
    <font>
      <sz val="16"/>
      <color theme="9" tint="-0.499984740745262"/>
      <name val="Times New Roman"/>
      <family val="1"/>
    </font>
    <font>
      <sz val="16"/>
      <color theme="4" tint="-0.499984740745262"/>
      <name val="Times New Roman"/>
      <family val="1"/>
    </font>
    <font>
      <sz val="11"/>
      <color theme="0" tint="-0.249977111117893"/>
      <name val="Calibri"/>
      <family val="2"/>
      <scheme val="minor"/>
    </font>
    <font>
      <sz val="11"/>
      <color theme="3"/>
      <name val="Calibri"/>
      <family val="2"/>
      <scheme val="minor"/>
    </font>
    <font>
      <sz val="14"/>
      <color theme="3"/>
      <name val="Calibri"/>
      <family val="2"/>
      <scheme val="minor"/>
    </font>
    <font>
      <sz val="15"/>
      <name val="Calibri"/>
      <family val="2"/>
      <scheme val="minor"/>
    </font>
    <font>
      <sz val="15"/>
      <color theme="9" tint="-0.249977111117893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sz val="13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1"/>
      <color rgb="FF954ECA"/>
      <name val="Calibri"/>
      <family val="2"/>
      <scheme val="minor"/>
    </font>
    <font>
      <sz val="13"/>
      <color rgb="FF954ECA"/>
      <name val="Calibri"/>
      <family val="2"/>
      <scheme val="minor"/>
    </font>
    <font>
      <sz val="14"/>
      <color rgb="FF954ECA"/>
      <name val="Calibri"/>
      <family val="2"/>
      <scheme val="minor"/>
    </font>
    <font>
      <sz val="15"/>
      <color rgb="FF954ECA"/>
      <name val="Calibri"/>
      <family val="2"/>
      <scheme val="minor"/>
    </font>
    <font>
      <sz val="16"/>
      <color rgb="FF954ECA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sz val="18"/>
      <color theme="9" tint="-0.499984740745262"/>
      <name val="Calibri"/>
      <family val="2"/>
      <scheme val="minor"/>
    </font>
    <font>
      <i/>
      <sz val="18"/>
      <color theme="5" tint="-0.499984740745262"/>
      <name val="Calibri"/>
      <family val="2"/>
      <scheme val="minor"/>
    </font>
    <font>
      <i/>
      <sz val="18"/>
      <color rgb="FF70AD47"/>
      <name val="Calibri"/>
      <family val="2"/>
      <scheme val="minor"/>
    </font>
    <font>
      <b/>
      <i/>
      <sz val="18"/>
      <color rgb="FF7F7F7F"/>
      <name val="Calibri"/>
      <family val="2"/>
      <scheme val="minor"/>
    </font>
    <font>
      <i/>
      <sz val="18"/>
      <color rgb="FF7F7F7F"/>
      <name val="Calibri"/>
      <family val="2"/>
      <scheme val="minor"/>
    </font>
    <font>
      <i/>
      <sz val="18"/>
      <color rgb="FFC65911"/>
      <name val="Calibri"/>
      <family val="2"/>
      <scheme val="minor"/>
    </font>
    <font>
      <sz val="18"/>
      <color theme="3"/>
      <name val="Calibri"/>
      <family val="2"/>
      <scheme val="minor"/>
    </font>
    <font>
      <sz val="18"/>
      <color theme="5" tint="-0.499984740745262"/>
      <name val="Calibri"/>
      <family val="2"/>
      <scheme val="minor"/>
    </font>
    <font>
      <b/>
      <sz val="18"/>
      <color theme="5" tint="-0.499984740745262"/>
      <name val="Calibri"/>
      <family val="2"/>
      <scheme val="minor"/>
    </font>
    <font>
      <i/>
      <sz val="18"/>
      <color theme="5" tint="-0.249977111117893"/>
      <name val="Calibri"/>
      <family val="2"/>
      <scheme val="minor"/>
    </font>
    <font>
      <i/>
      <sz val="18"/>
      <color theme="2" tint="-0.499984740745262"/>
      <name val="Calibri"/>
      <family val="2"/>
      <scheme val="minor"/>
    </font>
    <font>
      <b/>
      <sz val="18"/>
      <color theme="7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3"/>
      <name val="Calibri"/>
      <family val="2"/>
      <scheme val="minor"/>
    </font>
    <font>
      <sz val="16"/>
      <color theme="5" tint="-0.499984740745262"/>
      <name val="Calibri"/>
      <family val="2"/>
      <scheme val="minor"/>
    </font>
    <font>
      <b/>
      <sz val="15"/>
      <color rgb="FFC00000"/>
      <name val="Calibri"/>
      <family val="2"/>
      <scheme val="minor"/>
    </font>
    <font>
      <sz val="13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sz val="15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1"/>
      <color theme="1"/>
      <name val="Arial"/>
      <family val="2"/>
    </font>
    <font>
      <b/>
      <sz val="30"/>
      <color theme="1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6"/>
      <color theme="5" tint="-0.499984740745262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5"/>
      <color theme="1"/>
      <name val="Calibri"/>
      <family val="2"/>
      <scheme val="minor"/>
    </font>
    <font>
      <b/>
      <sz val="15"/>
      <color theme="1" tint="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3"/>
      <color rgb="FF44546A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theme="7" tint="0.39994506668294322"/>
        <bgColor auto="1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gray125">
        <fgColor theme="7" tint="0.39994506668294322"/>
        <bgColor theme="9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DED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125">
        <fgColor theme="7" tint="0.39994506668294322"/>
        <bgColor theme="6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5"/>
      </patternFill>
    </fill>
    <fill>
      <patternFill patternType="solid">
        <fgColor rgb="FFFFFF00"/>
        <bgColor rgb="FF000000"/>
      </patternFill>
    </fill>
    <fill>
      <patternFill patternType="gray125">
        <fgColor theme="7" tint="0.39994506668294322"/>
        <bgColor theme="4" tint="0.79998168889431442"/>
      </patternFill>
    </fill>
    <fill>
      <patternFill patternType="gray125">
        <fgColor theme="7" tint="0.39994506668294322"/>
        <bgColor theme="0"/>
      </patternFill>
    </fill>
    <fill>
      <patternFill patternType="solid">
        <fgColor theme="0"/>
      </patternFill>
    </fill>
  </fills>
  <borders count="1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/>
      <diagonal/>
    </border>
    <border>
      <left/>
      <right/>
      <top/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theme="4"/>
      </bottom>
      <diagonal/>
    </border>
    <border>
      <left/>
      <right/>
      <top style="medium">
        <color indexed="64"/>
      </top>
      <bottom style="thick">
        <color theme="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medium">
        <color indexed="64"/>
      </bottom>
      <diagonal/>
    </border>
    <border>
      <left/>
      <right/>
      <top style="thin">
        <color theme="4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theme="4" tint="0.39997558519241921"/>
      </right>
      <top style="thick">
        <color theme="4" tint="0.499984740745262"/>
      </top>
      <bottom style="thick">
        <color theme="4" tint="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theme="4" tint="0.39997558519241921"/>
      </bottom>
      <diagonal/>
    </border>
    <border>
      <left/>
      <right/>
      <top/>
      <bottom style="medium">
        <color theme="4" tint="-0.499984740745262"/>
      </bottom>
      <diagonal/>
    </border>
    <border>
      <left style="dashed">
        <color theme="4" tint="-0.249977111117893"/>
      </left>
      <right/>
      <top/>
      <bottom style="thick">
        <color theme="4"/>
      </bottom>
      <diagonal/>
    </border>
    <border>
      <left style="dashed">
        <color theme="4" tint="-0.249977111117893"/>
      </left>
      <right/>
      <top/>
      <bottom/>
      <diagonal/>
    </border>
    <border>
      <left style="dashed">
        <color theme="4" tint="-0.249977111117893"/>
      </left>
      <right/>
      <top/>
      <bottom style="thick">
        <color theme="4" tint="0.499984740745262"/>
      </bottom>
      <diagonal/>
    </border>
    <border>
      <left style="dashed">
        <color theme="4" tint="-0.249977111117893"/>
      </left>
      <right/>
      <top style="thin">
        <color theme="4"/>
      </top>
      <bottom style="double">
        <color theme="4"/>
      </bottom>
      <diagonal/>
    </border>
    <border>
      <left style="dashed">
        <color theme="4" tint="-0.249977111117893"/>
      </left>
      <right/>
      <top style="thick">
        <color theme="4" tint="0.499984740745262"/>
      </top>
      <bottom style="thick">
        <color theme="4" tint="0.499984740745262"/>
      </bottom>
      <diagonal/>
    </border>
    <border>
      <left/>
      <right/>
      <top style="dashed">
        <color theme="4" tint="-0.249977111117893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ck">
        <color theme="4" tint="0.499984740745262"/>
      </top>
      <bottom/>
      <diagonal/>
    </border>
    <border>
      <left/>
      <right style="medium">
        <color indexed="64"/>
      </right>
      <top style="thick">
        <color theme="4"/>
      </top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theme="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theme="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/>
      <right style="thin">
        <color indexed="64"/>
      </right>
      <top/>
      <bottom style="thick">
        <color theme="4" tint="0.499984740745262"/>
      </bottom>
      <diagonal/>
    </border>
    <border>
      <left/>
      <right style="thin">
        <color indexed="64"/>
      </right>
      <top/>
      <bottom style="medium">
        <color theme="4" tint="0.39997558519241921"/>
      </bottom>
      <diagonal/>
    </border>
    <border>
      <left/>
      <right style="thin">
        <color indexed="64"/>
      </right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theme="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thick">
        <color rgb="FFA2B8E1"/>
      </top>
      <bottom/>
      <diagonal/>
    </border>
    <border>
      <left/>
      <right style="medium">
        <color indexed="64"/>
      </right>
      <top/>
      <bottom style="thick">
        <color rgb="FFA2B8E1"/>
      </bottom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ck">
        <color theme="4"/>
      </top>
      <bottom/>
      <diagonal/>
    </border>
    <border>
      <left style="dashed">
        <color theme="4" tint="-0.24997711111789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theme="4" tint="0.499984740745262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3" applyNumberFormat="0" applyFont="0" applyAlignment="0" applyProtection="0"/>
    <xf numFmtId="0" fontId="5" fillId="0" borderId="4" applyNumberFormat="0" applyFill="0" applyAlignment="0" applyProtection="0"/>
    <xf numFmtId="0" fontId="1" fillId="3" borderId="0" applyNumberFormat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7" borderId="0" applyNumberFormat="0" applyBorder="0" applyAlignment="0" applyProtection="0"/>
    <xf numFmtId="43" fontId="14" fillId="0" borderId="0" applyFont="0" applyFill="0" applyBorder="0" applyAlignment="0" applyProtection="0"/>
    <xf numFmtId="0" fontId="15" fillId="0" borderId="61" applyNumberFormat="0" applyFill="0" applyAlignment="0" applyProtection="0"/>
    <xf numFmtId="168" fontId="4" fillId="5" borderId="53"/>
    <xf numFmtId="43" fontId="1" fillId="0" borderId="0" applyFont="0" applyFill="0" applyBorder="0" applyAlignment="0" applyProtection="0"/>
  </cellStyleXfs>
  <cellXfs count="761">
    <xf numFmtId="0" fontId="0" fillId="0" borderId="0" xfId="0"/>
    <xf numFmtId="4" fontId="9" fillId="0" borderId="0" xfId="0" applyNumberFormat="1" applyFont="1"/>
    <xf numFmtId="49" fontId="7" fillId="0" borderId="0" xfId="0" applyNumberFormat="1" applyFont="1" applyAlignment="1">
      <alignment horizontal="right" indent="2"/>
    </xf>
    <xf numFmtId="0" fontId="4" fillId="0" borderId="2" xfId="3"/>
    <xf numFmtId="0" fontId="1" fillId="3" borderId="0" xfId="6"/>
    <xf numFmtId="44" fontId="0" fillId="0" borderId="0" xfId="0" applyNumberFormat="1"/>
    <xf numFmtId="0" fontId="0" fillId="5" borderId="0" xfId="0" applyFill="1"/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9" xfId="0" applyBorder="1" applyAlignment="1">
      <alignment horizontal="left"/>
    </xf>
    <xf numFmtId="166" fontId="0" fillId="0" borderId="20" xfId="0" applyNumberFormat="1" applyBorder="1"/>
    <xf numFmtId="166" fontId="0" fillId="0" borderId="21" xfId="0" applyNumberFormat="1" applyBorder="1"/>
    <xf numFmtId="166" fontId="0" fillId="0" borderId="22" xfId="0" applyNumberFormat="1" applyBorder="1"/>
    <xf numFmtId="166" fontId="0" fillId="0" borderId="23" xfId="0" applyNumberFormat="1" applyBorder="1"/>
    <xf numFmtId="44" fontId="5" fillId="0" borderId="15" xfId="9" applyFont="1" applyBorder="1" applyAlignment="1">
      <alignment horizontal="center"/>
    </xf>
    <xf numFmtId="44" fontId="5" fillId="0" borderId="13" xfId="9" applyFont="1" applyBorder="1" applyAlignment="1">
      <alignment horizontal="center"/>
    </xf>
    <xf numFmtId="0" fontId="0" fillId="0" borderId="24" xfId="0" applyBorder="1" applyAlignment="1">
      <alignment horizontal="left"/>
    </xf>
    <xf numFmtId="166" fontId="0" fillId="0" borderId="25" xfId="0" applyNumberFormat="1" applyBorder="1"/>
    <xf numFmtId="166" fontId="0" fillId="0" borderId="26" xfId="0" applyNumberFormat="1" applyBorder="1"/>
    <xf numFmtId="166" fontId="0" fillId="0" borderId="27" xfId="0" applyNumberFormat="1" applyBorder="1"/>
    <xf numFmtId="166" fontId="0" fillId="0" borderId="28" xfId="0" applyNumberFormat="1" applyBorder="1"/>
    <xf numFmtId="9" fontId="5" fillId="0" borderId="29" xfId="9" applyNumberFormat="1" applyFont="1" applyBorder="1" applyAlignment="1">
      <alignment horizontal="center"/>
    </xf>
    <xf numFmtId="9" fontId="5" fillId="0" borderId="30" xfId="9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left"/>
    </xf>
    <xf numFmtId="166" fontId="0" fillId="0" borderId="20" xfId="9" applyNumberFormat="1" applyFont="1" applyBorder="1"/>
    <xf numFmtId="166" fontId="0" fillId="0" borderId="21" xfId="9" applyNumberFormat="1" applyFont="1" applyBorder="1"/>
    <xf numFmtId="166" fontId="0" fillId="0" borderId="22" xfId="9" applyNumberFormat="1" applyFont="1" applyBorder="1"/>
    <xf numFmtId="0" fontId="0" fillId="0" borderId="33" xfId="0" applyBorder="1" applyAlignment="1">
      <alignment horizontal="left"/>
    </xf>
    <xf numFmtId="166" fontId="0" fillId="0" borderId="33" xfId="0" applyNumberFormat="1" applyBorder="1"/>
    <xf numFmtId="0" fontId="0" fillId="0" borderId="34" xfId="0" applyBorder="1" applyAlignment="1">
      <alignment horizontal="left"/>
    </xf>
    <xf numFmtId="166" fontId="0" fillId="0" borderId="35" xfId="0" applyNumberFormat="1" applyBorder="1"/>
    <xf numFmtId="166" fontId="0" fillId="0" borderId="36" xfId="0" applyNumberFormat="1" applyBorder="1"/>
    <xf numFmtId="166" fontId="0" fillId="0" borderId="37" xfId="0" applyNumberFormat="1" applyBorder="1"/>
    <xf numFmtId="166" fontId="0" fillId="0" borderId="38" xfId="0" applyNumberFormat="1" applyBorder="1"/>
    <xf numFmtId="166" fontId="0" fillId="0" borderId="25" xfId="9" applyNumberFormat="1" applyFont="1" applyBorder="1"/>
    <xf numFmtId="166" fontId="0" fillId="0" borderId="26" xfId="9" applyNumberFormat="1" applyFont="1" applyBorder="1"/>
    <xf numFmtId="166" fontId="0" fillId="0" borderId="27" xfId="9" applyNumberFormat="1" applyFont="1" applyBorder="1"/>
    <xf numFmtId="0" fontId="5" fillId="0" borderId="14" xfId="0" applyFont="1" applyBorder="1" applyAlignment="1">
      <alignment horizontal="left"/>
    </xf>
    <xf numFmtId="166" fontId="5" fillId="0" borderId="14" xfId="0" applyNumberFormat="1" applyFont="1" applyBorder="1" applyAlignment="1">
      <alignment horizontal="left"/>
    </xf>
    <xf numFmtId="0" fontId="0" fillId="0" borderId="39" xfId="0" applyBorder="1" applyAlignment="1">
      <alignment horizontal="left"/>
    </xf>
    <xf numFmtId="166" fontId="0" fillId="0" borderId="40" xfId="9" applyNumberFormat="1" applyFont="1" applyBorder="1"/>
    <xf numFmtId="166" fontId="0" fillId="0" borderId="41" xfId="9" applyNumberFormat="1" applyFont="1" applyBorder="1"/>
    <xf numFmtId="166" fontId="0" fillId="0" borderId="42" xfId="9" applyNumberFormat="1" applyFont="1" applyBorder="1"/>
    <xf numFmtId="0" fontId="5" fillId="0" borderId="14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166" fontId="5" fillId="0" borderId="14" xfId="9" applyNumberFormat="1" applyFont="1" applyBorder="1"/>
    <xf numFmtId="166" fontId="0" fillId="0" borderId="12" xfId="9" applyNumberFormat="1" applyFont="1" applyBorder="1"/>
    <xf numFmtId="166" fontId="0" fillId="0" borderId="13" xfId="9" applyNumberFormat="1" applyFont="1" applyBorder="1"/>
    <xf numFmtId="166" fontId="0" fillId="0" borderId="13" xfId="0" applyNumberFormat="1" applyBorder="1"/>
    <xf numFmtId="0" fontId="5" fillId="0" borderId="16" xfId="0" applyFont="1" applyBorder="1" applyAlignment="1">
      <alignment horizontal="left"/>
    </xf>
    <xf numFmtId="166" fontId="5" fillId="0" borderId="29" xfId="9" applyNumberFormat="1" applyFont="1" applyBorder="1"/>
    <xf numFmtId="166" fontId="0" fillId="0" borderId="17" xfId="9" applyNumberFormat="1" applyFont="1" applyBorder="1"/>
    <xf numFmtId="166" fontId="0" fillId="0" borderId="18" xfId="9" applyNumberFormat="1" applyFont="1" applyBorder="1"/>
    <xf numFmtId="166" fontId="0" fillId="0" borderId="18" xfId="0" applyNumberFormat="1" applyBorder="1"/>
    <xf numFmtId="166" fontId="5" fillId="0" borderId="45" xfId="9" applyNumberFormat="1" applyFont="1" applyBorder="1"/>
    <xf numFmtId="0" fontId="0" fillId="0" borderId="46" xfId="0" applyBorder="1" applyAlignment="1">
      <alignment horizontal="left"/>
    </xf>
    <xf numFmtId="166" fontId="5" fillId="0" borderId="0" xfId="9" applyNumberFormat="1" applyFont="1"/>
    <xf numFmtId="0" fontId="0" fillId="0" borderId="0" xfId="0" applyAlignment="1">
      <alignment horizontal="left"/>
    </xf>
    <xf numFmtId="44" fontId="0" fillId="0" borderId="0" xfId="9" applyFont="1"/>
    <xf numFmtId="166" fontId="0" fillId="0" borderId="35" xfId="9" applyNumberFormat="1" applyFont="1" applyBorder="1"/>
    <xf numFmtId="166" fontId="0" fillId="0" borderId="36" xfId="9" applyNumberFormat="1" applyFont="1" applyBorder="1"/>
    <xf numFmtId="166" fontId="0" fillId="0" borderId="37" xfId="9" applyNumberFormat="1" applyFont="1" applyBorder="1"/>
    <xf numFmtId="44" fontId="0" fillId="0" borderId="0" xfId="9" applyFont="1" applyAlignment="1">
      <alignment horizontal="right"/>
    </xf>
    <xf numFmtId="10" fontId="0" fillId="0" borderId="0" xfId="9" applyNumberFormat="1" applyFont="1"/>
    <xf numFmtId="44" fontId="1" fillId="0" borderId="0" xfId="9"/>
    <xf numFmtId="0" fontId="0" fillId="0" borderId="30" xfId="0" applyBorder="1"/>
    <xf numFmtId="166" fontId="0" fillId="0" borderId="47" xfId="0" applyNumberFormat="1" applyBorder="1"/>
    <xf numFmtId="168" fontId="0" fillId="0" borderId="0" xfId="0" applyNumberFormat="1"/>
    <xf numFmtId="0" fontId="4" fillId="0" borderId="0" xfId="3" applyBorder="1"/>
    <xf numFmtId="0" fontId="21" fillId="0" borderId="0" xfId="0" applyFont="1"/>
    <xf numFmtId="0" fontId="17" fillId="0" borderId="0" xfId="0" applyFont="1"/>
    <xf numFmtId="4" fontId="24" fillId="0" borderId="0" xfId="12" applyNumberFormat="1" applyFont="1"/>
    <xf numFmtId="0" fontId="25" fillId="0" borderId="0" xfId="0" applyFont="1"/>
    <xf numFmtId="4" fontId="24" fillId="0" borderId="5" xfId="12" applyNumberFormat="1" applyFont="1" applyBorder="1"/>
    <xf numFmtId="0" fontId="25" fillId="0" borderId="44" xfId="0" applyFont="1" applyBorder="1"/>
    <xf numFmtId="0" fontId="0" fillId="0" borderId="0" xfId="0" applyAlignment="1">
      <alignment wrapText="1"/>
    </xf>
    <xf numFmtId="0" fontId="0" fillId="0" borderId="63" xfId="0" applyBorder="1" applyAlignment="1">
      <alignment horizontal="left"/>
    </xf>
    <xf numFmtId="166" fontId="0" fillId="0" borderId="0" xfId="0" applyNumberFormat="1"/>
    <xf numFmtId="0" fontId="1" fillId="5" borderId="0" xfId="6" applyFill="1"/>
    <xf numFmtId="0" fontId="29" fillId="0" borderId="0" xfId="0" applyFont="1"/>
    <xf numFmtId="0" fontId="30" fillId="0" borderId="0" xfId="3" applyFont="1" applyBorder="1"/>
    <xf numFmtId="0" fontId="0" fillId="0" borderId="0" xfId="0" applyBorder="1"/>
    <xf numFmtId="4" fontId="1" fillId="7" borderId="0" xfId="13" applyNumberFormat="1" applyFont="1"/>
    <xf numFmtId="4" fontId="1" fillId="7" borderId="60" xfId="13" applyNumberFormat="1" applyFont="1" applyBorder="1"/>
    <xf numFmtId="0" fontId="1" fillId="7" borderId="60" xfId="13" applyFont="1" applyBorder="1"/>
    <xf numFmtId="0" fontId="0" fillId="0" borderId="0" xfId="0" applyFont="1"/>
    <xf numFmtId="4" fontId="0" fillId="0" borderId="0" xfId="0" applyNumberFormat="1" applyFont="1"/>
    <xf numFmtId="0" fontId="43" fillId="5" borderId="0" xfId="0" applyFont="1" applyFill="1" applyBorder="1"/>
    <xf numFmtId="0" fontId="13" fillId="5" borderId="0" xfId="0" applyFont="1" applyFill="1" applyBorder="1"/>
    <xf numFmtId="0" fontId="43" fillId="5" borderId="0" xfId="0" applyFont="1" applyFill="1"/>
    <xf numFmtId="4" fontId="25" fillId="0" borderId="0" xfId="0" applyNumberFormat="1" applyFont="1"/>
    <xf numFmtId="0" fontId="17" fillId="0" borderId="57" xfId="5" applyFont="1" applyBorder="1"/>
    <xf numFmtId="168" fontId="17" fillId="0" borderId="58" xfId="5" applyNumberFormat="1" applyFont="1" applyBorder="1"/>
    <xf numFmtId="168" fontId="1" fillId="3" borderId="2" xfId="6" applyNumberFormat="1" applyFont="1" applyBorder="1"/>
    <xf numFmtId="0" fontId="32" fillId="0" borderId="0" xfId="3" applyFont="1" applyBorder="1"/>
    <xf numFmtId="0" fontId="17" fillId="0" borderId="0" xfId="0" applyFont="1" applyBorder="1"/>
    <xf numFmtId="164" fontId="2" fillId="9" borderId="48" xfId="1" quotePrefix="1" applyNumberFormat="1" applyFill="1" applyBorder="1" applyAlignment="1">
      <alignment horizontal="left" wrapText="1"/>
    </xf>
    <xf numFmtId="164" fontId="3" fillId="9" borderId="49" xfId="2" quotePrefix="1" applyNumberFormat="1" applyFill="1" applyBorder="1" applyAlignment="1">
      <alignment horizontal="center" wrapText="1"/>
    </xf>
    <xf numFmtId="0" fontId="20" fillId="9" borderId="49" xfId="2" applyFont="1" applyFill="1" applyBorder="1" applyAlignment="1">
      <alignment horizontal="center" wrapText="1"/>
    </xf>
    <xf numFmtId="164" fontId="18" fillId="9" borderId="49" xfId="2" quotePrefix="1" applyNumberFormat="1" applyFont="1" applyFill="1" applyBorder="1" applyAlignment="1">
      <alignment horizontal="center" wrapText="1"/>
    </xf>
    <xf numFmtId="0" fontId="18" fillId="9" borderId="49" xfId="2" applyFont="1" applyFill="1" applyBorder="1" applyAlignment="1">
      <alignment horizontal="center" wrapText="1"/>
    </xf>
    <xf numFmtId="0" fontId="3" fillId="9" borderId="49" xfId="2" applyFill="1" applyBorder="1" applyAlignment="1">
      <alignment horizontal="center" wrapText="1"/>
    </xf>
    <xf numFmtId="164" fontId="28" fillId="8" borderId="50" xfId="2" quotePrefix="1" applyNumberFormat="1" applyFont="1" applyFill="1" applyBorder="1" applyAlignment="1">
      <alignment horizontal="left"/>
    </xf>
    <xf numFmtId="168" fontId="28" fillId="8" borderId="1" xfId="2" applyNumberFormat="1" applyFont="1" applyFill="1" applyBorder="1"/>
    <xf numFmtId="164" fontId="32" fillId="5" borderId="53" xfId="3" applyNumberFormat="1" applyFont="1" applyFill="1" applyBorder="1"/>
    <xf numFmtId="168" fontId="32" fillId="5" borderId="2" xfId="3" applyNumberFormat="1" applyFont="1" applyFill="1" applyBorder="1"/>
    <xf numFmtId="164" fontId="1" fillId="3" borderId="53" xfId="6" applyNumberFormat="1" applyFont="1" applyBorder="1" applyAlignment="1">
      <alignment horizontal="left" indent="5"/>
    </xf>
    <xf numFmtId="168" fontId="32" fillId="0" borderId="2" xfId="3" applyNumberFormat="1" applyFont="1" applyBorder="1"/>
    <xf numFmtId="164" fontId="32" fillId="0" borderId="53" xfId="3" applyNumberFormat="1" applyFont="1" applyBorder="1"/>
    <xf numFmtId="164" fontId="1" fillId="3" borderId="52" xfId="6" applyNumberFormat="1" applyFont="1" applyBorder="1" applyAlignment="1">
      <alignment horizontal="left" indent="5"/>
    </xf>
    <xf numFmtId="168" fontId="1" fillId="3" borderId="0" xfId="6" applyNumberFormat="1" applyFont="1" applyBorder="1"/>
    <xf numFmtId="164" fontId="44" fillId="3" borderId="65" xfId="15" applyNumberFormat="1" applyFont="1" applyFill="1" applyBorder="1" applyAlignment="1">
      <alignment horizontal="left" indent="5"/>
    </xf>
    <xf numFmtId="168" fontId="44" fillId="3" borderId="61" xfId="15" applyNumberFormat="1" applyFont="1" applyFill="1" applyBorder="1"/>
    <xf numFmtId="0" fontId="32" fillId="0" borderId="53" xfId="3" applyFont="1" applyBorder="1" applyAlignment="1">
      <alignment horizontal="left" indent="3"/>
    </xf>
    <xf numFmtId="0" fontId="32" fillId="5" borderId="53" xfId="3" quotePrefix="1" applyFont="1" applyFill="1" applyBorder="1" applyAlignment="1">
      <alignment horizontal="left" indent="3"/>
    </xf>
    <xf numFmtId="164" fontId="7" fillId="5" borderId="55" xfId="5" applyNumberFormat="1" applyFont="1" applyFill="1" applyBorder="1"/>
    <xf numFmtId="168" fontId="7" fillId="0" borderId="4" xfId="5" applyNumberFormat="1" applyFont="1" applyBorder="1"/>
    <xf numFmtId="168" fontId="7" fillId="5" borderId="4" xfId="5" applyNumberFormat="1" applyFont="1" applyFill="1" applyBorder="1"/>
    <xf numFmtId="0" fontId="32" fillId="0" borderId="53" xfId="3" applyFont="1" applyBorder="1"/>
    <xf numFmtId="164" fontId="45" fillId="5" borderId="53" xfId="3" applyNumberFormat="1" applyFont="1" applyFill="1" applyBorder="1"/>
    <xf numFmtId="168" fontId="45" fillId="5" borderId="2" xfId="3" applyNumberFormat="1" applyFont="1" applyFill="1" applyBorder="1"/>
    <xf numFmtId="164" fontId="46" fillId="8" borderId="50" xfId="2" quotePrefix="1" applyNumberFormat="1" applyFont="1" applyFill="1" applyBorder="1" applyAlignment="1">
      <alignment horizontal="left"/>
    </xf>
    <xf numFmtId="168" fontId="46" fillId="8" borderId="1" xfId="2" applyNumberFormat="1" applyFont="1" applyFill="1" applyBorder="1"/>
    <xf numFmtId="164" fontId="37" fillId="5" borderId="50" xfId="2" quotePrefix="1" applyNumberFormat="1" applyFont="1" applyFill="1" applyBorder="1" applyAlignment="1">
      <alignment horizontal="left"/>
    </xf>
    <xf numFmtId="168" fontId="37" fillId="5" borderId="1" xfId="2" applyNumberFormat="1" applyFont="1" applyFill="1" applyBorder="1"/>
    <xf numFmtId="164" fontId="7" fillId="0" borderId="55" xfId="5" applyNumberFormat="1" applyFont="1" applyBorder="1"/>
    <xf numFmtId="164" fontId="7" fillId="0" borderId="55" xfId="5" applyNumberFormat="1" applyFont="1" applyBorder="1" applyAlignment="1">
      <alignment horizontal="left"/>
    </xf>
    <xf numFmtId="164" fontId="44" fillId="0" borderId="53" xfId="3" applyNumberFormat="1" applyFont="1" applyBorder="1"/>
    <xf numFmtId="168" fontId="44" fillId="0" borderId="2" xfId="3" applyNumberFormat="1" applyFont="1" applyBorder="1"/>
    <xf numFmtId="168" fontId="44" fillId="5" borderId="2" xfId="3" applyNumberFormat="1" applyFont="1" applyFill="1" applyBorder="1"/>
    <xf numFmtId="0" fontId="1" fillId="0" borderId="0" xfId="0" applyFont="1"/>
    <xf numFmtId="164" fontId="44" fillId="5" borderId="53" xfId="3" applyNumberFormat="1" applyFont="1" applyFill="1" applyBorder="1"/>
    <xf numFmtId="0" fontId="0" fillId="0" borderId="66" xfId="0" applyBorder="1"/>
    <xf numFmtId="170" fontId="0" fillId="0" borderId="0" xfId="0" applyNumberFormat="1"/>
    <xf numFmtId="169" fontId="0" fillId="9" borderId="0" xfId="0" applyNumberFormat="1" applyFill="1" applyAlignment="1">
      <alignment horizontal="left"/>
    </xf>
    <xf numFmtId="0" fontId="0" fillId="0" borderId="0" xfId="0" applyFont="1" applyBorder="1"/>
    <xf numFmtId="44" fontId="5" fillId="0" borderId="14" xfId="9" applyNumberFormat="1" applyFont="1" applyBorder="1"/>
    <xf numFmtId="166" fontId="0" fillId="5" borderId="20" xfId="9" applyNumberFormat="1" applyFont="1" applyFill="1" applyBorder="1"/>
    <xf numFmtId="4" fontId="1" fillId="7" borderId="64" xfId="13" applyNumberFormat="1" applyFont="1" applyBorder="1"/>
    <xf numFmtId="0" fontId="1" fillId="7" borderId="74" xfId="13" quotePrefix="1" applyFont="1" applyBorder="1" applyAlignment="1">
      <alignment horizontal="left"/>
    </xf>
    <xf numFmtId="4" fontId="1" fillId="7" borderId="74" xfId="13" applyNumberFormat="1" applyFont="1" applyBorder="1"/>
    <xf numFmtId="168" fontId="26" fillId="0" borderId="2" xfId="3" applyNumberFormat="1" applyFont="1" applyBorder="1"/>
    <xf numFmtId="168" fontId="26" fillId="5" borderId="2" xfId="3" applyNumberFormat="1" applyFont="1" applyFill="1" applyBorder="1"/>
    <xf numFmtId="168" fontId="49" fillId="0" borderId="2" xfId="3" applyNumberFormat="1" applyFont="1" applyBorder="1"/>
    <xf numFmtId="168" fontId="49" fillId="5" borderId="2" xfId="3" applyNumberFormat="1" applyFont="1" applyFill="1" applyBorder="1"/>
    <xf numFmtId="168" fontId="50" fillId="0" borderId="4" xfId="5" applyNumberFormat="1" applyFont="1" applyBorder="1"/>
    <xf numFmtId="168" fontId="50" fillId="5" borderId="2" xfId="3" applyNumberFormat="1" applyFont="1" applyFill="1" applyBorder="1"/>
    <xf numFmtId="168" fontId="50" fillId="5" borderId="4" xfId="5" applyNumberFormat="1" applyFont="1" applyFill="1" applyBorder="1"/>
    <xf numFmtId="168" fontId="47" fillId="8" borderId="1" xfId="2" applyNumberFormat="1" applyFont="1" applyFill="1" applyBorder="1"/>
    <xf numFmtId="168" fontId="47" fillId="5" borderId="1" xfId="2" applyNumberFormat="1" applyFont="1" applyFill="1" applyBorder="1"/>
    <xf numFmtId="168" fontId="51" fillId="3" borderId="2" xfId="6" applyNumberFormat="1" applyFont="1" applyBorder="1"/>
    <xf numFmtId="168" fontId="51" fillId="3" borderId="0" xfId="6" applyNumberFormat="1" applyFont="1" applyBorder="1"/>
    <xf numFmtId="168" fontId="51" fillId="0" borderId="2" xfId="3" applyNumberFormat="1" applyFont="1" applyBorder="1"/>
    <xf numFmtId="168" fontId="51" fillId="5" borderId="2" xfId="3" applyNumberFormat="1" applyFont="1" applyFill="1" applyBorder="1"/>
    <xf numFmtId="168" fontId="52" fillId="0" borderId="2" xfId="3" applyNumberFormat="1" applyFont="1" applyBorder="1"/>
    <xf numFmtId="168" fontId="52" fillId="5" borderId="2" xfId="3" applyNumberFormat="1" applyFont="1" applyFill="1" applyBorder="1"/>
    <xf numFmtId="168" fontId="53" fillId="5" borderId="4" xfId="5" applyNumberFormat="1" applyFont="1" applyFill="1" applyBorder="1"/>
    <xf numFmtId="168" fontId="53" fillId="5" borderId="2" xfId="3" applyNumberFormat="1" applyFont="1" applyFill="1" applyBorder="1"/>
    <xf numFmtId="168" fontId="54" fillId="8" borderId="1" xfId="2" applyNumberFormat="1" applyFont="1" applyFill="1" applyBorder="1"/>
    <xf numFmtId="168" fontId="54" fillId="5" borderId="1" xfId="2" applyNumberFormat="1" applyFont="1" applyFill="1" applyBorder="1"/>
    <xf numFmtId="168" fontId="32" fillId="5" borderId="53" xfId="16" applyFont="1" applyBorder="1"/>
    <xf numFmtId="0" fontId="3" fillId="9" borderId="76" xfId="2" applyFill="1" applyBorder="1" applyAlignment="1">
      <alignment horizontal="center" wrapText="1"/>
    </xf>
    <xf numFmtId="168" fontId="28" fillId="8" borderId="51" xfId="2" applyNumberFormat="1" applyFont="1" applyFill="1" applyBorder="1"/>
    <xf numFmtId="168" fontId="52" fillId="5" borderId="53" xfId="16" applyFont="1" applyBorder="1"/>
    <xf numFmtId="168" fontId="49" fillId="5" borderId="53" xfId="16" applyFont="1" applyBorder="1"/>
    <xf numFmtId="168" fontId="32" fillId="0" borderId="53" xfId="16" applyFont="1" applyFill="1" applyBorder="1"/>
    <xf numFmtId="168" fontId="53" fillId="0" borderId="4" xfId="5" applyNumberFormat="1" applyFont="1" applyBorder="1"/>
    <xf numFmtId="164" fontId="1" fillId="0" borderId="55" xfId="5" applyNumberFormat="1" applyFont="1" applyBorder="1"/>
    <xf numFmtId="168" fontId="1" fillId="0" borderId="4" xfId="5" applyNumberFormat="1" applyFont="1" applyBorder="1"/>
    <xf numFmtId="168" fontId="51" fillId="0" borderId="4" xfId="5" applyNumberFormat="1" applyFont="1" applyBorder="1"/>
    <xf numFmtId="168" fontId="1" fillId="5" borderId="4" xfId="5" applyNumberFormat="1" applyFont="1" applyFill="1" applyBorder="1"/>
    <xf numFmtId="168" fontId="55" fillId="0" borderId="58" xfId="5" applyNumberFormat="1" applyFont="1" applyBorder="1"/>
    <xf numFmtId="168" fontId="48" fillId="0" borderId="58" xfId="5" applyNumberFormat="1" applyFont="1" applyBorder="1"/>
    <xf numFmtId="4" fontId="1" fillId="7" borderId="77" xfId="13" applyNumberFormat="1" applyFont="1" applyBorder="1"/>
    <xf numFmtId="0" fontId="3" fillId="10" borderId="11" xfId="2" applyFill="1" applyBorder="1" applyAlignment="1">
      <alignment horizontal="center" vertical="center"/>
    </xf>
    <xf numFmtId="164" fontId="3" fillId="10" borderId="49" xfId="2" quotePrefix="1" applyNumberFormat="1" applyFill="1" applyBorder="1" applyAlignment="1">
      <alignment horizontal="center" wrapText="1"/>
    </xf>
    <xf numFmtId="0" fontId="20" fillId="10" borderId="49" xfId="2" applyFont="1" applyFill="1" applyBorder="1" applyAlignment="1">
      <alignment horizontal="center" wrapText="1"/>
    </xf>
    <xf numFmtId="164" fontId="18" fillId="10" borderId="49" xfId="2" quotePrefix="1" applyNumberFormat="1" applyFont="1" applyFill="1" applyBorder="1" applyAlignment="1">
      <alignment horizontal="center" wrapText="1"/>
    </xf>
    <xf numFmtId="0" fontId="18" fillId="10" borderId="49" xfId="2" applyFont="1" applyFill="1" applyBorder="1" applyAlignment="1">
      <alignment horizontal="center" wrapText="1"/>
    </xf>
    <xf numFmtId="0" fontId="3" fillId="10" borderId="49" xfId="2" applyFill="1" applyBorder="1" applyAlignment="1">
      <alignment horizontal="center" wrapText="1"/>
    </xf>
    <xf numFmtId="0" fontId="3" fillId="10" borderId="76" xfId="2" applyFill="1" applyBorder="1" applyAlignment="1">
      <alignment horizontal="center" wrapText="1"/>
    </xf>
    <xf numFmtId="0" fontId="0" fillId="0" borderId="78" xfId="0" applyBorder="1" applyAlignment="1">
      <alignment horizontal="center" vertical="center"/>
    </xf>
    <xf numFmtId="164" fontId="6" fillId="0" borderId="0" xfId="0" applyNumberFormat="1" applyFont="1" applyBorder="1"/>
    <xf numFmtId="0" fontId="21" fillId="0" borderId="0" xfId="0" applyFont="1" applyBorder="1"/>
    <xf numFmtId="4" fontId="31" fillId="0" borderId="0" xfId="0" applyNumberFormat="1" applyFont="1" applyBorder="1"/>
    <xf numFmtId="0" fontId="8" fillId="0" borderId="0" xfId="0" applyFont="1" applyBorder="1"/>
    <xf numFmtId="0" fontId="8" fillId="0" borderId="30" xfId="0" applyFont="1" applyBorder="1"/>
    <xf numFmtId="0" fontId="32" fillId="0" borderId="53" xfId="3" applyFont="1" applyBorder="1" applyAlignment="1">
      <alignment horizontal="center"/>
    </xf>
    <xf numFmtId="44" fontId="32" fillId="0" borderId="2" xfId="3" applyNumberFormat="1" applyFont="1" applyBorder="1" applyAlignment="1">
      <alignment horizontal="right"/>
    </xf>
    <xf numFmtId="44" fontId="33" fillId="0" borderId="2" xfId="3" applyNumberFormat="1" applyFont="1" applyBorder="1"/>
    <xf numFmtId="44" fontId="34" fillId="0" borderId="2" xfId="3" applyNumberFormat="1" applyFont="1" applyBorder="1" applyAlignment="1">
      <alignment horizontal="right"/>
    </xf>
    <xf numFmtId="44" fontId="34" fillId="0" borderId="2" xfId="3" applyNumberFormat="1" applyFont="1" applyBorder="1"/>
    <xf numFmtId="39" fontId="32" fillId="0" borderId="2" xfId="3" applyNumberFormat="1" applyFont="1" applyBorder="1"/>
    <xf numFmtId="44" fontId="32" fillId="0" borderId="54" xfId="3" applyNumberFormat="1" applyFont="1" applyBorder="1"/>
    <xf numFmtId="0" fontId="2" fillId="0" borderId="52" xfId="1" applyFont="1" applyBorder="1" applyAlignment="1">
      <alignment horizontal="center" vertical="center"/>
    </xf>
    <xf numFmtId="4" fontId="1" fillId="3" borderId="0" xfId="6" applyNumberFormat="1" applyFont="1" applyBorder="1" applyAlignment="1">
      <alignment horizontal="right" indent="2"/>
    </xf>
    <xf numFmtId="4" fontId="21" fillId="3" borderId="0" xfId="6" applyNumberFormat="1" applyFont="1" applyBorder="1"/>
    <xf numFmtId="4" fontId="26" fillId="3" borderId="0" xfId="6" applyNumberFormat="1" applyFont="1" applyBorder="1" applyAlignment="1">
      <alignment horizontal="right" indent="2"/>
    </xf>
    <xf numFmtId="4" fontId="8" fillId="3" borderId="0" xfId="6" applyNumberFormat="1" applyFont="1" applyBorder="1" applyAlignment="1">
      <alignment horizontal="right" indent="2"/>
    </xf>
    <xf numFmtId="4" fontId="1" fillId="3" borderId="0" xfId="6" applyNumberFormat="1" applyFont="1" applyBorder="1"/>
    <xf numFmtId="4" fontId="1" fillId="3" borderId="30" xfId="6" applyNumberFormat="1" applyFont="1" applyBorder="1"/>
    <xf numFmtId="4" fontId="0" fillId="3" borderId="0" xfId="6" applyNumberFormat="1" applyFont="1" applyBorder="1"/>
    <xf numFmtId="0" fontId="32" fillId="0" borderId="53" xfId="3" applyFont="1" applyBorder="1" applyAlignment="1">
      <alignment horizontal="center" vertical="center"/>
    </xf>
    <xf numFmtId="44" fontId="32" fillId="0" borderId="2" xfId="3" applyNumberFormat="1" applyFont="1" applyBorder="1"/>
    <xf numFmtId="44" fontId="1" fillId="3" borderId="30" xfId="6" applyNumberFormat="1" applyFont="1" applyBorder="1"/>
    <xf numFmtId="4" fontId="1" fillId="3" borderId="79" xfId="6" applyNumberFormat="1" applyFont="1" applyBorder="1"/>
    <xf numFmtId="7" fontId="34" fillId="0" borderId="2" xfId="3" applyNumberFormat="1" applyFont="1" applyBorder="1"/>
    <xf numFmtId="168" fontId="1" fillId="3" borderId="0" xfId="6" applyNumberFormat="1" applyFont="1" applyBorder="1" applyAlignment="1">
      <alignment horizontal="right"/>
    </xf>
    <xf numFmtId="49" fontId="27" fillId="3" borderId="0" xfId="6" applyNumberFormat="1" applyFont="1" applyBorder="1" applyAlignment="1">
      <alignment horizontal="right" indent="2"/>
    </xf>
    <xf numFmtId="49" fontId="8" fillId="3" borderId="0" xfId="6" applyNumberFormat="1" applyFont="1" applyBorder="1" applyAlignment="1">
      <alignment horizontal="right" indent="2"/>
    </xf>
    <xf numFmtId="44" fontId="34" fillId="0" borderId="54" xfId="3" applyNumberFormat="1" applyFont="1" applyBorder="1"/>
    <xf numFmtId="0" fontId="32" fillId="0" borderId="19" xfId="3" applyFont="1" applyBorder="1" applyAlignment="1">
      <alignment horizontal="center" vertical="center"/>
    </xf>
    <xf numFmtId="4" fontId="32" fillId="0" borderId="2" xfId="3" applyNumberFormat="1" applyFont="1" applyBorder="1"/>
    <xf numFmtId="4" fontId="34" fillId="0" borderId="2" xfId="3" applyNumberFormat="1" applyFont="1" applyBorder="1"/>
    <xf numFmtId="0" fontId="2" fillId="0" borderId="52" xfId="1" applyFont="1" applyBorder="1" applyAlignment="1">
      <alignment vertical="center"/>
    </xf>
    <xf numFmtId="2" fontId="8" fillId="3" borderId="0" xfId="6" applyNumberFormat="1" applyFont="1" applyBorder="1" applyAlignment="1">
      <alignment horizontal="right" indent="2"/>
    </xf>
    <xf numFmtId="44" fontId="32" fillId="0" borderId="2" xfId="3" applyNumberFormat="1" applyFont="1" applyBorder="1" applyAlignment="1">
      <alignment horizontal="left"/>
    </xf>
    <xf numFmtId="44" fontId="32" fillId="0" borderId="54" xfId="3" applyNumberFormat="1" applyFont="1" applyBorder="1" applyAlignment="1">
      <alignment horizontal="left"/>
    </xf>
    <xf numFmtId="0" fontId="35" fillId="0" borderId="55" xfId="5" applyFont="1" applyBorder="1" applyAlignment="1">
      <alignment horizontal="center"/>
    </xf>
    <xf numFmtId="44" fontId="35" fillId="0" borderId="4" xfId="5" applyNumberFormat="1" applyFont="1" applyBorder="1"/>
    <xf numFmtId="44" fontId="36" fillId="0" borderId="4" xfId="5" applyNumberFormat="1" applyFont="1" applyBorder="1"/>
    <xf numFmtId="44" fontId="23" fillId="0" borderId="4" xfId="5" applyNumberFormat="1" applyFont="1" applyBorder="1"/>
    <xf numFmtId="44" fontId="35" fillId="0" borderId="56" xfId="5" applyNumberFormat="1" applyFont="1" applyBorder="1"/>
    <xf numFmtId="0" fontId="37" fillId="0" borderId="50" xfId="2" applyFont="1" applyBorder="1" applyAlignment="1">
      <alignment horizontal="center" vertical="center"/>
    </xf>
    <xf numFmtId="4" fontId="37" fillId="0" borderId="1" xfId="2" quotePrefix="1" applyNumberFormat="1" applyFont="1" applyBorder="1" applyAlignment="1">
      <alignment horizontal="left"/>
    </xf>
    <xf numFmtId="4" fontId="38" fillId="0" borderId="1" xfId="2" applyNumberFormat="1" applyFont="1" applyBorder="1"/>
    <xf numFmtId="4" fontId="39" fillId="0" borderId="1" xfId="2" applyNumberFormat="1" applyFont="1" applyBorder="1"/>
    <xf numFmtId="4" fontId="37" fillId="0" borderId="1" xfId="2" applyNumberFormat="1" applyFont="1" applyBorder="1"/>
    <xf numFmtId="4" fontId="37" fillId="0" borderId="51" xfId="2" applyNumberFormat="1" applyFont="1" applyBorder="1"/>
    <xf numFmtId="4" fontId="33" fillId="0" borderId="2" xfId="3" applyNumberFormat="1" applyFont="1" applyBorder="1"/>
    <xf numFmtId="4" fontId="32" fillId="0" borderId="80" xfId="3" applyNumberFormat="1" applyFont="1" applyBorder="1"/>
    <xf numFmtId="4" fontId="0" fillId="3" borderId="30" xfId="6" applyNumberFormat="1" applyFont="1" applyBorder="1"/>
    <xf numFmtId="0" fontId="1" fillId="0" borderId="55" xfId="5" applyFont="1" applyBorder="1" applyAlignment="1">
      <alignment horizontal="center" vertical="center"/>
    </xf>
    <xf numFmtId="4" fontId="17" fillId="0" borderId="4" xfId="5" applyNumberFormat="1" applyFont="1" applyBorder="1"/>
    <xf numFmtId="4" fontId="22" fillId="0" borderId="4" xfId="5" applyNumberFormat="1" applyFont="1" applyBorder="1"/>
    <xf numFmtId="4" fontId="19" fillId="0" borderId="4" xfId="5" applyNumberFormat="1" applyFont="1" applyBorder="1"/>
    <xf numFmtId="39" fontId="7" fillId="0" borderId="4" xfId="5" applyNumberFormat="1" applyFont="1" applyBorder="1"/>
    <xf numFmtId="4" fontId="17" fillId="0" borderId="56" xfId="5" applyNumberFormat="1" applyFont="1" applyBorder="1"/>
    <xf numFmtId="4" fontId="7" fillId="0" borderId="0" xfId="0" applyNumberFormat="1" applyFont="1" applyBorder="1" applyAlignment="1">
      <alignment horizontal="right" indent="2"/>
    </xf>
    <xf numFmtId="4" fontId="40" fillId="0" borderId="0" xfId="0" applyNumberFormat="1" applyFont="1" applyBorder="1"/>
    <xf numFmtId="4" fontId="41" fillId="0" borderId="0" xfId="0" applyNumberFormat="1" applyFont="1" applyBorder="1"/>
    <xf numFmtId="4" fontId="42" fillId="0" borderId="0" xfId="0" applyNumberFormat="1" applyFont="1" applyBorder="1"/>
    <xf numFmtId="4" fontId="42" fillId="0" borderId="30" xfId="0" applyNumberFormat="1" applyFont="1" applyBorder="1"/>
    <xf numFmtId="0" fontId="1" fillId="0" borderId="57" xfId="5" applyFont="1" applyBorder="1" applyAlignment="1">
      <alignment horizontal="center" vertical="center"/>
    </xf>
    <xf numFmtId="4" fontId="17" fillId="0" borderId="58" xfId="5" applyNumberFormat="1" applyFont="1" applyBorder="1"/>
    <xf numFmtId="4" fontId="22" fillId="0" borderId="58" xfId="5" applyNumberFormat="1" applyFont="1" applyBorder="1"/>
    <xf numFmtId="4" fontId="19" fillId="0" borderId="58" xfId="5" applyNumberFormat="1" applyFont="1" applyBorder="1"/>
    <xf numFmtId="39" fontId="1" fillId="0" borderId="58" xfId="5" applyNumberFormat="1" applyFont="1" applyBorder="1"/>
    <xf numFmtId="4" fontId="17" fillId="0" borderId="59" xfId="5" applyNumberFormat="1" applyFont="1" applyBorder="1"/>
    <xf numFmtId="164" fontId="2" fillId="10" borderId="11" xfId="1" quotePrefix="1" applyNumberFormat="1" applyFill="1" applyBorder="1" applyAlignment="1">
      <alignment horizontal="left" wrapText="1"/>
    </xf>
    <xf numFmtId="164" fontId="6" fillId="0" borderId="40" xfId="0" applyNumberFormat="1" applyFont="1" applyBorder="1"/>
    <xf numFmtId="0" fontId="32" fillId="0" borderId="75" xfId="3" applyFont="1" applyBorder="1"/>
    <xf numFmtId="49" fontId="1" fillId="3" borderId="81" xfId="6" applyNumberFormat="1" applyFont="1" applyBorder="1" applyAlignment="1">
      <alignment horizontal="right" indent="2"/>
    </xf>
    <xf numFmtId="164" fontId="32" fillId="0" borderId="75" xfId="3" applyNumberFormat="1" applyFont="1" applyBorder="1"/>
    <xf numFmtId="164" fontId="32" fillId="0" borderId="82" xfId="3" applyNumberFormat="1" applyFont="1" applyBorder="1"/>
    <xf numFmtId="49" fontId="1" fillId="3" borderId="52" xfId="6" applyNumberFormat="1" applyFont="1" applyBorder="1" applyAlignment="1">
      <alignment horizontal="right" indent="2"/>
    </xf>
    <xf numFmtId="44" fontId="35" fillId="0" borderId="83" xfId="5" applyNumberFormat="1" applyFont="1" applyBorder="1"/>
    <xf numFmtId="0" fontId="37" fillId="0" borderId="84" xfId="2" quotePrefix="1" applyFont="1" applyBorder="1" applyAlignment="1">
      <alignment horizontal="left"/>
    </xf>
    <xf numFmtId="0" fontId="32" fillId="0" borderId="75" xfId="3" quotePrefix="1" applyFont="1" applyBorder="1" applyAlignment="1">
      <alignment horizontal="left"/>
    </xf>
    <xf numFmtId="0" fontId="17" fillId="0" borderId="83" xfId="5" quotePrefix="1" applyFont="1" applyBorder="1" applyAlignment="1">
      <alignment horizontal="left"/>
    </xf>
    <xf numFmtId="49" fontId="7" fillId="0" borderId="81" xfId="0" applyNumberFormat="1" applyFont="1" applyBorder="1" applyAlignment="1">
      <alignment horizontal="right" indent="2"/>
    </xf>
    <xf numFmtId="0" fontId="17" fillId="0" borderId="85" xfId="5" quotePrefix="1" applyFont="1" applyBorder="1" applyAlignment="1">
      <alignment horizontal="left"/>
    </xf>
    <xf numFmtId="4" fontId="5" fillId="7" borderId="0" xfId="13" applyNumberFormat="1" applyFont="1"/>
    <xf numFmtId="4" fontId="5" fillId="7" borderId="60" xfId="13" applyNumberFormat="1" applyFont="1" applyBorder="1"/>
    <xf numFmtId="0" fontId="5" fillId="0" borderId="0" xfId="0" applyFont="1"/>
    <xf numFmtId="0" fontId="0" fillId="0" borderId="0" xfId="0" applyNumberFormat="1"/>
    <xf numFmtId="49" fontId="0" fillId="3" borderId="81" xfId="6" applyNumberFormat="1" applyFont="1" applyBorder="1" applyAlignment="1">
      <alignment horizontal="right" indent="2"/>
    </xf>
    <xf numFmtId="0" fontId="57" fillId="0" borderId="48" xfId="2" applyFont="1" applyBorder="1" applyAlignment="1">
      <alignment horizontal="left" wrapText="1" indent="10"/>
    </xf>
    <xf numFmtId="0" fontId="58" fillId="3" borderId="49" xfId="6" applyFont="1" applyBorder="1" applyAlignment="1">
      <alignment horizontal="center" wrapText="1"/>
    </xf>
    <xf numFmtId="0" fontId="60" fillId="0" borderId="49" xfId="2" applyFont="1" applyBorder="1" applyAlignment="1">
      <alignment horizontal="right" wrapText="1"/>
    </xf>
    <xf numFmtId="0" fontId="59" fillId="0" borderId="0" xfId="2" applyFont="1" applyBorder="1"/>
    <xf numFmtId="0" fontId="59" fillId="0" borderId="1" xfId="2" applyFont="1"/>
    <xf numFmtId="0" fontId="2" fillId="12" borderId="52" xfId="1" applyFont="1" applyFill="1" applyBorder="1"/>
    <xf numFmtId="0" fontId="58" fillId="12" borderId="0" xfId="0" applyFont="1" applyFill="1" applyBorder="1"/>
    <xf numFmtId="0" fontId="61" fillId="12" borderId="0" xfId="0" applyFont="1" applyFill="1" applyBorder="1"/>
    <xf numFmtId="168" fontId="62" fillId="5" borderId="72" xfId="11" applyNumberFormat="1" applyFont="1" applyFill="1" applyBorder="1" applyAlignment="1">
      <alignment horizontal="center"/>
    </xf>
    <xf numFmtId="0" fontId="59" fillId="0" borderId="0" xfId="3" applyFont="1" applyBorder="1"/>
    <xf numFmtId="0" fontId="58" fillId="0" borderId="0" xfId="0" applyFont="1"/>
    <xf numFmtId="0" fontId="59" fillId="6" borderId="50" xfId="2" applyFont="1" applyFill="1" applyBorder="1" applyAlignment="1">
      <alignment horizontal="right"/>
    </xf>
    <xf numFmtId="0" fontId="59" fillId="6" borderId="1" xfId="2" applyFont="1" applyFill="1" applyBorder="1"/>
    <xf numFmtId="167" fontId="60" fillId="6" borderId="1" xfId="2" applyNumberFormat="1" applyFont="1" applyFill="1" applyBorder="1"/>
    <xf numFmtId="0" fontId="58" fillId="0" borderId="52" xfId="0" applyFont="1" applyBorder="1"/>
    <xf numFmtId="0" fontId="58" fillId="0" borderId="0" xfId="0" applyFont="1" applyBorder="1"/>
    <xf numFmtId="168" fontId="61" fillId="0" borderId="0" xfId="0" applyNumberFormat="1" applyFont="1" applyBorder="1"/>
    <xf numFmtId="0" fontId="61" fillId="0" borderId="0" xfId="0" applyFont="1" applyBorder="1"/>
    <xf numFmtId="0" fontId="58" fillId="0" borderId="68" xfId="0" applyFont="1" applyBorder="1"/>
    <xf numFmtId="165" fontId="65" fillId="0" borderId="0" xfId="12" applyNumberFormat="1" applyFont="1" applyAlignment="1">
      <alignment horizontal="right" vertical="center" readingOrder="1"/>
    </xf>
    <xf numFmtId="0" fontId="67" fillId="0" borderId="50" xfId="2" applyFont="1" applyBorder="1"/>
    <xf numFmtId="0" fontId="67" fillId="0" borderId="1" xfId="2" applyFont="1" applyBorder="1"/>
    <xf numFmtId="168" fontId="61" fillId="0" borderId="1" xfId="2" applyNumberFormat="1" applyFont="1" applyBorder="1"/>
    <xf numFmtId="168" fontId="68" fillId="0" borderId="67" xfId="2" applyNumberFormat="1" applyFont="1" applyBorder="1"/>
    <xf numFmtId="0" fontId="67" fillId="0" borderId="52" xfId="11" applyFont="1" applyBorder="1"/>
    <xf numFmtId="0" fontId="67" fillId="0" borderId="0" xfId="11" applyFont="1" applyBorder="1"/>
    <xf numFmtId="168" fontId="61" fillId="0" borderId="0" xfId="11" applyNumberFormat="1" applyFont="1" applyBorder="1"/>
    <xf numFmtId="0" fontId="69" fillId="0" borderId="68" xfId="11" applyFont="1" applyBorder="1"/>
    <xf numFmtId="0" fontId="59" fillId="0" borderId="0" xfId="11" applyFont="1"/>
    <xf numFmtId="0" fontId="59" fillId="0" borderId="2" xfId="3" applyFont="1"/>
    <xf numFmtId="0" fontId="65" fillId="0" borderId="0" xfId="12" applyFont="1"/>
    <xf numFmtId="168" fontId="68" fillId="3" borderId="69" xfId="6" applyNumberFormat="1" applyFont="1" applyBorder="1" applyAlignment="1">
      <alignment horizontal="right"/>
    </xf>
    <xf numFmtId="165" fontId="64" fillId="0" borderId="0" xfId="12" applyNumberFormat="1" applyFont="1"/>
    <xf numFmtId="168" fontId="68" fillId="3" borderId="71" xfId="6" applyNumberFormat="1" applyFont="1" applyBorder="1" applyAlignment="1">
      <alignment horizontal="right"/>
    </xf>
    <xf numFmtId="167" fontId="65" fillId="0" borderId="0" xfId="12" applyNumberFormat="1" applyFont="1"/>
    <xf numFmtId="165" fontId="65" fillId="0" borderId="0" xfId="12" applyNumberFormat="1" applyFont="1"/>
    <xf numFmtId="10" fontId="65" fillId="0" borderId="0" xfId="12" applyNumberFormat="1" applyFont="1" applyAlignment="1">
      <alignment horizontal="right"/>
    </xf>
    <xf numFmtId="10" fontId="65" fillId="0" borderId="0" xfId="10" applyNumberFormat="1" applyFont="1" applyAlignment="1">
      <alignment horizontal="right"/>
    </xf>
    <xf numFmtId="168" fontId="65" fillId="0" borderId="0" xfId="12" applyNumberFormat="1" applyFont="1"/>
    <xf numFmtId="168" fontId="68" fillId="0" borderId="70" xfId="5" applyNumberFormat="1" applyFont="1" applyBorder="1"/>
    <xf numFmtId="0" fontId="12" fillId="0" borderId="0" xfId="5" applyFont="1" applyBorder="1"/>
    <xf numFmtId="0" fontId="12" fillId="0" borderId="4" xfId="5" applyFont="1"/>
    <xf numFmtId="4" fontId="58" fillId="0" borderId="0" xfId="0" applyNumberFormat="1" applyFont="1"/>
    <xf numFmtId="168" fontId="68" fillId="14" borderId="69" xfId="6" applyNumberFormat="1" applyFont="1" applyFill="1" applyBorder="1" applyAlignment="1">
      <alignment horizontal="right"/>
    </xf>
    <xf numFmtId="0" fontId="59" fillId="14" borderId="0" xfId="3" applyFont="1" applyFill="1" applyBorder="1"/>
    <xf numFmtId="0" fontId="59" fillId="14" borderId="2" xfId="3" applyFont="1" applyFill="1"/>
    <xf numFmtId="9" fontId="0" fillId="0" borderId="0" xfId="0" applyNumberFormat="1"/>
    <xf numFmtId="168" fontId="28" fillId="8" borderId="0" xfId="2" applyNumberFormat="1" applyFont="1" applyFill="1" applyBorder="1"/>
    <xf numFmtId="168" fontId="32" fillId="0" borderId="0" xfId="16" applyFont="1" applyFill="1" applyBorder="1"/>
    <xf numFmtId="168" fontId="1" fillId="0" borderId="0" xfId="6" applyNumberFormat="1" applyFont="1" applyFill="1" applyBorder="1"/>
    <xf numFmtId="168" fontId="44" fillId="0" borderId="0" xfId="3" applyNumberFormat="1" applyFont="1" applyFill="1" applyBorder="1"/>
    <xf numFmtId="168" fontId="44" fillId="0" borderId="0" xfId="15" applyNumberFormat="1" applyFont="1" applyFill="1" applyBorder="1"/>
    <xf numFmtId="168" fontId="32" fillId="0" borderId="0" xfId="3" applyNumberFormat="1" applyFont="1" applyFill="1" applyBorder="1"/>
    <xf numFmtId="168" fontId="44" fillId="3" borderId="0" xfId="15" applyNumberFormat="1" applyFont="1" applyFill="1" applyBorder="1"/>
    <xf numFmtId="168" fontId="7" fillId="0" borderId="0" xfId="5" applyNumberFormat="1" applyFont="1" applyBorder="1"/>
    <xf numFmtId="168" fontId="32" fillId="0" borderId="0" xfId="3" applyNumberFormat="1" applyFont="1" applyBorder="1"/>
    <xf numFmtId="168" fontId="45" fillId="5" borderId="0" xfId="3" applyNumberFormat="1" applyFont="1" applyFill="1" applyBorder="1"/>
    <xf numFmtId="168" fontId="32" fillId="5" borderId="0" xfId="3" applyNumberFormat="1" applyFont="1" applyFill="1" applyBorder="1"/>
    <xf numFmtId="168" fontId="7" fillId="5" borderId="0" xfId="5" applyNumberFormat="1" applyFont="1" applyFill="1" applyBorder="1"/>
    <xf numFmtId="168" fontId="46" fillId="8" borderId="0" xfId="2" applyNumberFormat="1" applyFont="1" applyFill="1" applyBorder="1"/>
    <xf numFmtId="168" fontId="32" fillId="5" borderId="0" xfId="16" applyFont="1" applyBorder="1"/>
    <xf numFmtId="169" fontId="37" fillId="5" borderId="0" xfId="2" applyNumberFormat="1" applyFont="1" applyFill="1" applyBorder="1"/>
    <xf numFmtId="168" fontId="1" fillId="0" borderId="0" xfId="5" applyNumberFormat="1" applyFont="1" applyBorder="1"/>
    <xf numFmtId="168" fontId="17" fillId="0" borderId="0" xfId="5" applyNumberFormat="1" applyFont="1" applyBorder="1"/>
    <xf numFmtId="0" fontId="56" fillId="10" borderId="0" xfId="2" applyFont="1" applyFill="1" applyBorder="1" applyAlignment="1">
      <alignment horizontal="center" wrapText="1"/>
    </xf>
    <xf numFmtId="9" fontId="72" fillId="2" borderId="8" xfId="4" applyNumberFormat="1" applyFont="1" applyBorder="1" applyAlignment="1">
      <alignment horizontal="left" vertical="center" wrapText="1"/>
    </xf>
    <xf numFmtId="4" fontId="0" fillId="0" borderId="0" xfId="0" applyNumberFormat="1"/>
    <xf numFmtId="0" fontId="73" fillId="5" borderId="0" xfId="0" applyFont="1" applyFill="1" applyBorder="1"/>
    <xf numFmtId="0" fontId="74" fillId="0" borderId="50" xfId="2" applyFont="1" applyBorder="1"/>
    <xf numFmtId="0" fontId="74" fillId="0" borderId="1" xfId="2" applyFont="1" applyBorder="1"/>
    <xf numFmtId="168" fontId="74" fillId="0" borderId="1" xfId="2" applyNumberFormat="1" applyFont="1" applyBorder="1"/>
    <xf numFmtId="168" fontId="19" fillId="0" borderId="1" xfId="2" applyNumberFormat="1" applyFont="1" applyBorder="1"/>
    <xf numFmtId="0" fontId="17" fillId="3" borderId="53" xfId="6" applyFont="1" applyBorder="1" applyAlignment="1">
      <alignment horizontal="right"/>
    </xf>
    <xf numFmtId="0" fontId="17" fillId="3" borderId="2" xfId="6" applyFont="1" applyBorder="1" applyAlignment="1">
      <alignment horizontal="right"/>
    </xf>
    <xf numFmtId="0" fontId="17" fillId="0" borderId="52" xfId="0" applyFont="1" applyBorder="1"/>
    <xf numFmtId="168" fontId="17" fillId="0" borderId="0" xfId="0" applyNumberFormat="1" applyFont="1" applyBorder="1"/>
    <xf numFmtId="0" fontId="17" fillId="0" borderId="55" xfId="5" applyFont="1" applyBorder="1"/>
    <xf numFmtId="0" fontId="17" fillId="0" borderId="4" xfId="5" applyFont="1" applyBorder="1"/>
    <xf numFmtId="168" fontId="19" fillId="0" borderId="4" xfId="5" applyNumberFormat="1" applyFont="1" applyBorder="1"/>
    <xf numFmtId="168" fontId="19" fillId="0" borderId="0" xfId="0" applyNumberFormat="1" applyFont="1" applyBorder="1"/>
    <xf numFmtId="0" fontId="17" fillId="0" borderId="58" xfId="5" applyFont="1" applyBorder="1"/>
    <xf numFmtId="168" fontId="19" fillId="0" borderId="58" xfId="5" applyNumberFormat="1" applyFont="1" applyBorder="1"/>
    <xf numFmtId="4" fontId="17" fillId="0" borderId="0" xfId="0" applyNumberFormat="1" applyFont="1"/>
    <xf numFmtId="168" fontId="79" fillId="0" borderId="4" xfId="5" applyNumberFormat="1" applyFont="1" applyBorder="1"/>
    <xf numFmtId="0" fontId="78" fillId="0" borderId="0" xfId="0" applyFont="1"/>
    <xf numFmtId="0" fontId="76" fillId="9" borderId="86" xfId="2" applyFont="1" applyFill="1" applyBorder="1" applyAlignment="1">
      <alignment horizontal="center" wrapText="1"/>
    </xf>
    <xf numFmtId="168" fontId="76" fillId="8" borderId="87" xfId="2" applyNumberFormat="1" applyFont="1" applyFill="1" applyBorder="1"/>
    <xf numFmtId="168" fontId="77" fillId="5" borderId="75" xfId="16" applyFont="1" applyBorder="1"/>
    <xf numFmtId="168" fontId="78" fillId="3" borderId="88" xfId="6" applyNumberFormat="1" applyFont="1" applyBorder="1"/>
    <xf numFmtId="168" fontId="78" fillId="3" borderId="64" xfId="6" applyNumberFormat="1" applyFont="1" applyBorder="1"/>
    <xf numFmtId="168" fontId="78" fillId="0" borderId="88" xfId="3" applyNumberFormat="1" applyFont="1" applyBorder="1"/>
    <xf numFmtId="168" fontId="78" fillId="3" borderId="89" xfId="15" applyNumberFormat="1" applyFont="1" applyFill="1" applyBorder="1"/>
    <xf numFmtId="168" fontId="78" fillId="5" borderId="88" xfId="3" applyNumberFormat="1" applyFont="1" applyFill="1" applyBorder="1"/>
    <xf numFmtId="168" fontId="77" fillId="0" borderId="88" xfId="3" applyNumberFormat="1" applyFont="1" applyBorder="1"/>
    <xf numFmtId="168" fontId="77" fillId="5" borderId="88" xfId="3" applyNumberFormat="1" applyFont="1" applyFill="1" applyBorder="1"/>
    <xf numFmtId="168" fontId="79" fillId="0" borderId="90" xfId="5" applyNumberFormat="1" applyFont="1" applyBorder="1"/>
    <xf numFmtId="168" fontId="79" fillId="5" borderId="88" xfId="3" applyNumberFormat="1" applyFont="1" applyFill="1" applyBorder="1"/>
    <xf numFmtId="168" fontId="79" fillId="5" borderId="90" xfId="5" applyNumberFormat="1" applyFont="1" applyFill="1" applyBorder="1"/>
    <xf numFmtId="168" fontId="80" fillId="8" borderId="87" xfId="2" applyNumberFormat="1" applyFont="1" applyFill="1" applyBorder="1"/>
    <xf numFmtId="168" fontId="80" fillId="5" borderId="87" xfId="2" applyNumberFormat="1" applyFont="1" applyFill="1" applyBorder="1"/>
    <xf numFmtId="168" fontId="78" fillId="0" borderId="90" xfId="5" applyNumberFormat="1" applyFont="1" applyBorder="1"/>
    <xf numFmtId="168" fontId="81" fillId="0" borderId="91" xfId="5" applyNumberFormat="1" applyFont="1" applyBorder="1"/>
    <xf numFmtId="0" fontId="32" fillId="0" borderId="52" xfId="3" applyFont="1" applyBorder="1" applyAlignment="1">
      <alignment horizontal="center" vertical="center"/>
    </xf>
    <xf numFmtId="44" fontId="32" fillId="0" borderId="0" xfId="3" applyNumberFormat="1" applyFont="1" applyBorder="1"/>
    <xf numFmtId="44" fontId="33" fillId="0" borderId="0" xfId="3" applyNumberFormat="1" applyFont="1" applyBorder="1"/>
    <xf numFmtId="44" fontId="34" fillId="0" borderId="0" xfId="3" applyNumberFormat="1" applyFont="1" applyBorder="1"/>
    <xf numFmtId="39" fontId="32" fillId="0" borderId="0" xfId="3" applyNumberFormat="1" applyFont="1" applyBorder="1"/>
    <xf numFmtId="0" fontId="82" fillId="0" borderId="0" xfId="0" applyFont="1"/>
    <xf numFmtId="0" fontId="82" fillId="0" borderId="95" xfId="0" applyFont="1" applyBorder="1"/>
    <xf numFmtId="0" fontId="82" fillId="0" borderId="0" xfId="0" applyFont="1" applyBorder="1"/>
    <xf numFmtId="0" fontId="82" fillId="0" borderId="96" xfId="0" applyFont="1" applyBorder="1"/>
    <xf numFmtId="0" fontId="85" fillId="0" borderId="95" xfId="0" applyFont="1" applyBorder="1"/>
    <xf numFmtId="0" fontId="87" fillId="0" borderId="95" xfId="0" applyFont="1" applyBorder="1"/>
    <xf numFmtId="0" fontId="85" fillId="0" borderId="0" xfId="0" applyFont="1" applyBorder="1" applyAlignment="1">
      <alignment horizontal="center" vertical="center" wrapText="1"/>
    </xf>
    <xf numFmtId="0" fontId="87" fillId="0" borderId="0" xfId="0" applyFont="1" applyBorder="1"/>
    <xf numFmtId="0" fontId="85" fillId="0" borderId="0" xfId="0" applyFont="1" applyBorder="1" applyAlignment="1">
      <alignment horizontal="center" vertical="center"/>
    </xf>
    <xf numFmtId="0" fontId="85" fillId="0" borderId="96" xfId="0" applyFont="1" applyBorder="1" applyAlignment="1">
      <alignment horizontal="center" vertical="center"/>
    </xf>
    <xf numFmtId="0" fontId="88" fillId="0" borderId="95" xfId="0" applyFont="1" applyBorder="1"/>
    <xf numFmtId="172" fontId="85" fillId="0" borderId="0" xfId="0" applyNumberFormat="1" applyFont="1" applyBorder="1" applyAlignment="1">
      <alignment horizontal="left"/>
    </xf>
    <xf numFmtId="172" fontId="87" fillId="0" borderId="0" xfId="0" applyNumberFormat="1" applyFont="1" applyBorder="1" applyAlignment="1">
      <alignment horizontal="left"/>
    </xf>
    <xf numFmtId="172" fontId="85" fillId="0" borderId="96" xfId="0" applyNumberFormat="1" applyFont="1" applyBorder="1" applyAlignment="1">
      <alignment horizontal="left"/>
    </xf>
    <xf numFmtId="172" fontId="87" fillId="0" borderId="96" xfId="0" applyNumberFormat="1" applyFont="1" applyBorder="1" applyAlignment="1">
      <alignment horizontal="left"/>
    </xf>
    <xf numFmtId="0" fontId="87" fillId="0" borderId="96" xfId="0" applyFont="1" applyBorder="1"/>
    <xf numFmtId="0" fontId="59" fillId="0" borderId="0" xfId="2" applyFont="1" applyBorder="1" applyAlignment="1">
      <alignment horizontal="center" wrapText="1"/>
    </xf>
    <xf numFmtId="168" fontId="62" fillId="5" borderId="0" xfId="11" applyNumberFormat="1" applyFont="1" applyFill="1" applyBorder="1" applyAlignment="1">
      <alignment horizontal="center"/>
    </xf>
    <xf numFmtId="168" fontId="68" fillId="0" borderId="0" xfId="2" applyNumberFormat="1" applyFont="1" applyBorder="1"/>
    <xf numFmtId="0" fontId="69" fillId="0" borderId="0" xfId="11" applyFont="1" applyBorder="1"/>
    <xf numFmtId="0" fontId="69" fillId="11" borderId="68" xfId="0" applyFont="1" applyFill="1" applyBorder="1"/>
    <xf numFmtId="0" fontId="90" fillId="0" borderId="0" xfId="2" applyFont="1" applyBorder="1" applyAlignment="1">
      <alignment horizontal="center" wrapText="1"/>
    </xf>
    <xf numFmtId="167" fontId="90" fillId="6" borderId="0" xfId="2" applyNumberFormat="1" applyFont="1" applyFill="1" applyBorder="1" applyAlignment="1">
      <alignment horizontal="center"/>
    </xf>
    <xf numFmtId="0" fontId="90" fillId="0" borderId="0" xfId="11" applyFont="1" applyBorder="1"/>
    <xf numFmtId="0" fontId="90" fillId="12" borderId="0" xfId="0" applyFont="1" applyFill="1" applyBorder="1"/>
    <xf numFmtId="0" fontId="90" fillId="0" borderId="0" xfId="0" applyFont="1" applyBorder="1"/>
    <xf numFmtId="0" fontId="90" fillId="0" borderId="0" xfId="0" applyFont="1"/>
    <xf numFmtId="167" fontId="64" fillId="0" borderId="0" xfId="0" applyNumberFormat="1" applyFont="1"/>
    <xf numFmtId="165" fontId="64" fillId="0" borderId="0" xfId="0" applyNumberFormat="1" applyFont="1"/>
    <xf numFmtId="167" fontId="65" fillId="0" borderId="0" xfId="0" applyNumberFormat="1" applyFont="1"/>
    <xf numFmtId="165" fontId="91" fillId="0" borderId="0" xfId="2" applyNumberFormat="1" applyFont="1" applyBorder="1"/>
    <xf numFmtId="165" fontId="91" fillId="0" borderId="0" xfId="0" applyNumberFormat="1" applyFont="1" applyBorder="1"/>
    <xf numFmtId="165" fontId="59" fillId="0" borderId="2" xfId="3" applyNumberFormat="1" applyFont="1"/>
    <xf numFmtId="168" fontId="90" fillId="0" borderId="0" xfId="2" applyNumberFormat="1" applyFont="1" applyBorder="1"/>
    <xf numFmtId="0" fontId="94" fillId="10" borderId="76" xfId="2" applyFont="1" applyFill="1" applyBorder="1" applyAlignment="1">
      <alignment horizontal="center" wrapText="1"/>
    </xf>
    <xf numFmtId="8" fontId="96" fillId="16" borderId="0" xfId="0" applyNumberFormat="1" applyFont="1" applyFill="1" applyAlignment="1">
      <alignment horizontal="right" indent="2"/>
    </xf>
    <xf numFmtId="8" fontId="96" fillId="16" borderId="30" xfId="0" applyNumberFormat="1" applyFont="1" applyFill="1" applyBorder="1"/>
    <xf numFmtId="0" fontId="96" fillId="16" borderId="30" xfId="0" applyFont="1" applyFill="1" applyBorder="1"/>
    <xf numFmtId="0" fontId="96" fillId="16" borderId="0" xfId="0" applyFont="1" applyFill="1" applyAlignment="1">
      <alignment horizontal="right" indent="2"/>
    </xf>
    <xf numFmtId="0" fontId="96" fillId="16" borderId="81" xfId="0" applyFont="1" applyFill="1" applyBorder="1" applyAlignment="1">
      <alignment horizontal="right" indent="2"/>
    </xf>
    <xf numFmtId="168" fontId="52" fillId="5" borderId="53" xfId="16" applyFont="1"/>
    <xf numFmtId="168" fontId="51" fillId="0" borderId="2" xfId="3" applyNumberFormat="1" applyFont="1"/>
    <xf numFmtId="168" fontId="51" fillId="3" borderId="61" xfId="15" applyNumberFormat="1" applyFont="1" applyFill="1"/>
    <xf numFmtId="168" fontId="51" fillId="5" borderId="2" xfId="3" applyNumberFormat="1" applyFont="1" applyFill="1"/>
    <xf numFmtId="168" fontId="52" fillId="0" borderId="2" xfId="3" applyNumberFormat="1" applyFont="1"/>
    <xf numFmtId="168" fontId="52" fillId="5" borderId="2" xfId="3" applyNumberFormat="1" applyFont="1" applyFill="1"/>
    <xf numFmtId="168" fontId="53" fillId="5" borderId="4" xfId="5" applyNumberFormat="1" applyFont="1" applyFill="1"/>
    <xf numFmtId="168" fontId="53" fillId="5" borderId="2" xfId="3" applyNumberFormat="1" applyFont="1" applyFill="1"/>
    <xf numFmtId="168" fontId="54" fillId="8" borderId="1" xfId="2" applyNumberFormat="1" applyFont="1" applyFill="1"/>
    <xf numFmtId="168" fontId="53" fillId="0" borderId="4" xfId="5" applyNumberFormat="1" applyFont="1"/>
    <xf numFmtId="168" fontId="54" fillId="5" borderId="1" xfId="2" applyNumberFormat="1" applyFont="1" applyFill="1"/>
    <xf numFmtId="0" fontId="25" fillId="5" borderId="7" xfId="0" applyFont="1" applyFill="1" applyBorder="1" applyAlignment="1">
      <alignment horizontal="right"/>
    </xf>
    <xf numFmtId="9" fontId="25" fillId="5" borderId="7" xfId="10" applyFont="1" applyFill="1" applyBorder="1"/>
    <xf numFmtId="171" fontId="25" fillId="5" borderId="0" xfId="10" applyNumberFormat="1" applyFont="1" applyFill="1"/>
    <xf numFmtId="171" fontId="25" fillId="5" borderId="7" xfId="10" applyNumberFormat="1" applyFont="1" applyFill="1" applyBorder="1"/>
    <xf numFmtId="9" fontId="25" fillId="5" borderId="0" xfId="10" applyFont="1" applyFill="1"/>
    <xf numFmtId="167" fontId="58" fillId="0" borderId="0" xfId="0" applyNumberFormat="1" applyFont="1"/>
    <xf numFmtId="8" fontId="0" fillId="0" borderId="0" xfId="0" applyNumberFormat="1" applyFont="1"/>
    <xf numFmtId="0" fontId="58" fillId="17" borderId="0" xfId="0" applyFont="1" applyFill="1" applyBorder="1"/>
    <xf numFmtId="0" fontId="57" fillId="17" borderId="0" xfId="0" applyFont="1" applyFill="1" applyBorder="1"/>
    <xf numFmtId="167" fontId="57" fillId="17" borderId="0" xfId="0" applyNumberFormat="1" applyFont="1" applyFill="1" applyBorder="1"/>
    <xf numFmtId="168" fontId="58" fillId="17" borderId="0" xfId="0" applyNumberFormat="1" applyFont="1" applyFill="1" applyBorder="1"/>
    <xf numFmtId="0" fontId="90" fillId="17" borderId="0" xfId="0" applyFont="1" applyFill="1" applyBorder="1"/>
    <xf numFmtId="4" fontId="59" fillId="0" borderId="95" xfId="3" applyNumberFormat="1" applyFont="1" applyBorder="1"/>
    <xf numFmtId="167" fontId="63" fillId="0" borderId="0" xfId="12" applyNumberFormat="1" applyFont="1" applyBorder="1"/>
    <xf numFmtId="0" fontId="65" fillId="0" borderId="95" xfId="12" applyFont="1" applyBorder="1" applyAlignment="1">
      <alignment horizontal="right" vertical="center" readingOrder="1"/>
    </xf>
    <xf numFmtId="165" fontId="65" fillId="0" borderId="0" xfId="12" applyNumberFormat="1" applyFont="1" applyBorder="1" applyAlignment="1">
      <alignment horizontal="right" vertical="center" readingOrder="1"/>
    </xf>
    <xf numFmtId="165" fontId="66" fillId="0" borderId="0" xfId="12" applyNumberFormat="1" applyFont="1" applyBorder="1" applyAlignment="1">
      <alignment horizontal="right" vertical="center" readingOrder="1"/>
    </xf>
    <xf numFmtId="0" fontId="59" fillId="0" borderId="96" xfId="2" applyFont="1" applyBorder="1"/>
    <xf numFmtId="0" fontId="59" fillId="0" borderId="95" xfId="2" applyFont="1" applyBorder="1"/>
    <xf numFmtId="0" fontId="59" fillId="0" borderId="0" xfId="11" applyFont="1" applyBorder="1"/>
    <xf numFmtId="0" fontId="59" fillId="0" borderId="96" xfId="11" applyFont="1" applyBorder="1"/>
    <xf numFmtId="0" fontId="70" fillId="0" borderId="98" xfId="12" applyFont="1" applyBorder="1" applyAlignment="1">
      <alignment vertical="center" readingOrder="1"/>
    </xf>
    <xf numFmtId="0" fontId="59" fillId="0" borderId="98" xfId="3" applyFont="1" applyBorder="1"/>
    <xf numFmtId="0" fontId="59" fillId="0" borderId="99" xfId="3" applyFont="1" applyBorder="1"/>
    <xf numFmtId="0" fontId="5" fillId="0" borderId="43" xfId="0" applyFont="1" applyBorder="1" applyAlignment="1">
      <alignment horizontal="center"/>
    </xf>
    <xf numFmtId="168" fontId="32" fillId="5" borderId="2" xfId="16" applyFont="1" applyBorder="1"/>
    <xf numFmtId="168" fontId="77" fillId="5" borderId="88" xfId="16" applyFont="1" applyBorder="1"/>
    <xf numFmtId="0" fontId="101" fillId="0" borderId="0" xfId="3" applyFont="1" applyBorder="1" applyAlignment="1">
      <alignment horizontal="center"/>
    </xf>
    <xf numFmtId="8" fontId="0" fillId="0" borderId="0" xfId="0" applyNumberFormat="1"/>
    <xf numFmtId="10" fontId="12" fillId="2" borderId="6" xfId="10" applyNumberFormat="1" applyFont="1" applyFill="1" applyBorder="1" applyAlignment="1">
      <alignment horizontal="right" vertical="center" wrapText="1"/>
    </xf>
    <xf numFmtId="0" fontId="58" fillId="18" borderId="0" xfId="0" applyFont="1" applyFill="1"/>
    <xf numFmtId="0" fontId="18" fillId="15" borderId="49" xfId="2" applyFont="1" applyFill="1" applyBorder="1" applyAlignment="1">
      <alignment horizontal="center" wrapText="1"/>
    </xf>
    <xf numFmtId="0" fontId="95" fillId="20" borderId="76" xfId="2" applyFont="1" applyFill="1" applyBorder="1" applyAlignment="1">
      <alignment horizontal="center" wrapText="1"/>
    </xf>
    <xf numFmtId="0" fontId="8" fillId="20" borderId="30" xfId="0" applyFont="1" applyFill="1" applyBorder="1"/>
    <xf numFmtId="44" fontId="32" fillId="20" borderId="54" xfId="3" applyNumberFormat="1" applyFont="1" applyFill="1" applyBorder="1"/>
    <xf numFmtId="8" fontId="96" fillId="21" borderId="30" xfId="0" applyNumberFormat="1" applyFont="1" applyFill="1" applyBorder="1"/>
    <xf numFmtId="4" fontId="1" fillId="7" borderId="30" xfId="6" applyNumberFormat="1" applyFont="1" applyFill="1" applyBorder="1"/>
    <xf numFmtId="8" fontId="96" fillId="21" borderId="100" xfId="0" applyNumberFormat="1" applyFont="1" applyFill="1" applyBorder="1"/>
    <xf numFmtId="8" fontId="97" fillId="21" borderId="101" xfId="0" applyNumberFormat="1" applyFont="1" applyFill="1" applyBorder="1"/>
    <xf numFmtId="44" fontId="34" fillId="20" borderId="2" xfId="3" applyNumberFormat="1" applyFont="1" applyFill="1" applyBorder="1"/>
    <xf numFmtId="44" fontId="34" fillId="20" borderId="54" xfId="3" applyNumberFormat="1" applyFont="1" applyFill="1" applyBorder="1"/>
    <xf numFmtId="44" fontId="32" fillId="20" borderId="54" xfId="3" applyNumberFormat="1" applyFont="1" applyFill="1" applyBorder="1" applyAlignment="1">
      <alignment horizontal="left"/>
    </xf>
    <xf numFmtId="44" fontId="35" fillId="20" borderId="56" xfId="5" applyNumberFormat="1" applyFont="1" applyFill="1" applyBorder="1"/>
    <xf numFmtId="4" fontId="37" fillId="20" borderId="51" xfId="2" applyNumberFormat="1" applyFont="1" applyFill="1" applyBorder="1"/>
    <xf numFmtId="4" fontId="32" fillId="20" borderId="80" xfId="3" applyNumberFormat="1" applyFont="1" applyFill="1" applyBorder="1"/>
    <xf numFmtId="4" fontId="42" fillId="20" borderId="30" xfId="0" applyNumberFormat="1" applyFont="1" applyFill="1" applyBorder="1"/>
    <xf numFmtId="4" fontId="17" fillId="20" borderId="59" xfId="5" applyNumberFormat="1" applyFont="1" applyFill="1" applyBorder="1"/>
    <xf numFmtId="4" fontId="1" fillId="7" borderId="77" xfId="13" applyNumberFormat="1" applyFont="1" applyFill="1" applyBorder="1"/>
    <xf numFmtId="4" fontId="1" fillId="7" borderId="74" xfId="13" applyNumberFormat="1" applyFont="1" applyFill="1" applyBorder="1"/>
    <xf numFmtId="0" fontId="0" fillId="20" borderId="0" xfId="0" applyFont="1" applyFill="1"/>
    <xf numFmtId="0" fontId="0" fillId="20" borderId="0" xfId="0" applyFill="1"/>
    <xf numFmtId="0" fontId="85" fillId="14" borderId="95" xfId="0" applyFont="1" applyFill="1" applyBorder="1"/>
    <xf numFmtId="167" fontId="85" fillId="14" borderId="0" xfId="0" applyNumberFormat="1" applyFont="1" applyFill="1" applyBorder="1" applyAlignment="1">
      <alignment horizontal="left"/>
    </xf>
    <xf numFmtId="8" fontId="96" fillId="22" borderId="0" xfId="0" applyNumberFormat="1" applyFont="1" applyFill="1" applyAlignment="1">
      <alignment horizontal="right" indent="2"/>
    </xf>
    <xf numFmtId="4" fontId="8" fillId="24" borderId="0" xfId="6" applyNumberFormat="1" applyFont="1" applyFill="1" applyBorder="1" applyAlignment="1">
      <alignment horizontal="right" indent="2"/>
    </xf>
    <xf numFmtId="4" fontId="8" fillId="23" borderId="0" xfId="6" applyNumberFormat="1" applyFont="1" applyFill="1" applyBorder="1" applyAlignment="1">
      <alignment horizontal="right" indent="2"/>
    </xf>
    <xf numFmtId="8" fontId="27" fillId="22" borderId="0" xfId="0" applyNumberFormat="1" applyFont="1" applyFill="1" applyAlignment="1">
      <alignment horizontal="right" indent="2"/>
    </xf>
    <xf numFmtId="8" fontId="96" fillId="22" borderId="0" xfId="0" applyNumberFormat="1" applyFont="1" applyFill="1"/>
    <xf numFmtId="8" fontId="96" fillId="16" borderId="0" xfId="0" applyNumberFormat="1" applyFont="1" applyFill="1" applyBorder="1"/>
    <xf numFmtId="8" fontId="32" fillId="20" borderId="54" xfId="3" applyNumberFormat="1" applyFont="1" applyFill="1" applyBorder="1" applyAlignment="1">
      <alignment horizontal="right"/>
    </xf>
    <xf numFmtId="8" fontId="34" fillId="0" borderId="2" xfId="3" applyNumberFormat="1" applyFont="1" applyBorder="1"/>
    <xf numFmtId="168" fontId="51" fillId="23" borderId="61" xfId="15" applyNumberFormat="1" applyFont="1" applyFill="1" applyBorder="1"/>
    <xf numFmtId="168" fontId="44" fillId="23" borderId="61" xfId="15" applyNumberFormat="1" applyFont="1" applyFill="1" applyBorder="1"/>
    <xf numFmtId="168" fontId="52" fillId="23" borderId="2" xfId="16" applyFont="1" applyFill="1" applyBorder="1"/>
    <xf numFmtId="168" fontId="32" fillId="23" borderId="2" xfId="16" applyFont="1" applyFill="1" applyBorder="1"/>
    <xf numFmtId="168" fontId="49" fillId="23" borderId="2" xfId="3" applyNumberFormat="1" applyFont="1" applyFill="1" applyBorder="1"/>
    <xf numFmtId="168" fontId="51" fillId="23" borderId="2" xfId="6" applyNumberFormat="1" applyFont="1" applyFill="1" applyBorder="1"/>
    <xf numFmtId="168" fontId="26" fillId="23" borderId="2" xfId="6" applyNumberFormat="1" applyFont="1" applyFill="1" applyBorder="1"/>
    <xf numFmtId="168" fontId="1" fillId="23" borderId="2" xfId="6" applyNumberFormat="1" applyFont="1" applyFill="1" applyBorder="1"/>
    <xf numFmtId="168" fontId="44" fillId="0" borderId="0" xfId="15" applyNumberFormat="1" applyFont="1" applyFill="1" applyBorder="1" applyAlignment="1">
      <alignment horizontal="right"/>
    </xf>
    <xf numFmtId="168" fontId="26" fillId="23" borderId="61" xfId="15" applyNumberFormat="1" applyFont="1" applyFill="1" applyBorder="1"/>
    <xf numFmtId="168" fontId="48" fillId="23" borderId="2" xfId="6" applyNumberFormat="1" applyFont="1" applyFill="1" applyBorder="1" applyAlignment="1">
      <alignment horizontal="right"/>
    </xf>
    <xf numFmtId="168" fontId="17" fillId="23" borderId="2" xfId="6" applyNumberFormat="1" applyFont="1" applyFill="1" applyBorder="1" applyAlignment="1">
      <alignment horizontal="right"/>
    </xf>
    <xf numFmtId="0" fontId="96" fillId="0" borderId="0" xfId="0" applyFont="1"/>
    <xf numFmtId="0" fontId="102" fillId="0" borderId="0" xfId="0" applyFont="1" applyAlignment="1">
      <alignment horizontal="center"/>
    </xf>
    <xf numFmtId="0" fontId="96" fillId="0" borderId="20" xfId="0" applyFont="1" applyBorder="1"/>
    <xf numFmtId="0" fontId="102" fillId="0" borderId="21" xfId="0" applyFont="1" applyBorder="1" applyAlignment="1">
      <alignment horizontal="center"/>
    </xf>
    <xf numFmtId="0" fontId="102" fillId="0" borderId="22" xfId="0" applyFont="1" applyBorder="1" applyAlignment="1">
      <alignment horizontal="center"/>
    </xf>
    <xf numFmtId="0" fontId="102" fillId="0" borderId="25" xfId="0" applyFont="1" applyBorder="1"/>
    <xf numFmtId="8" fontId="96" fillId="0" borderId="26" xfId="0" applyNumberFormat="1" applyFont="1" applyBorder="1"/>
    <xf numFmtId="8" fontId="96" fillId="0" borderId="27" xfId="0" applyNumberFormat="1" applyFont="1" applyBorder="1"/>
    <xf numFmtId="0" fontId="102" fillId="0" borderId="35" xfId="0" applyFont="1" applyBorder="1"/>
    <xf numFmtId="0" fontId="102" fillId="0" borderId="0" xfId="0" applyFont="1"/>
    <xf numFmtId="8" fontId="96" fillId="0" borderId="0" xfId="0" applyNumberFormat="1" applyFont="1"/>
    <xf numFmtId="0" fontId="0" fillId="0" borderId="0" xfId="0" applyFill="1"/>
    <xf numFmtId="0" fontId="102" fillId="0" borderId="15" xfId="0" applyFont="1" applyBorder="1" applyAlignment="1">
      <alignment horizontal="center"/>
    </xf>
    <xf numFmtId="0" fontId="102" fillId="0" borderId="13" xfId="0" applyFont="1" applyBorder="1" applyAlignment="1">
      <alignment horizontal="center"/>
    </xf>
    <xf numFmtId="9" fontId="102" fillId="0" borderId="29" xfId="0" applyNumberFormat="1" applyFont="1" applyBorder="1" applyAlignment="1">
      <alignment horizontal="center"/>
    </xf>
    <xf numFmtId="9" fontId="102" fillId="0" borderId="30" xfId="0" applyNumberFormat="1" applyFont="1" applyBorder="1" applyAlignment="1">
      <alignment horizontal="center"/>
    </xf>
    <xf numFmtId="0" fontId="102" fillId="0" borderId="30" xfId="0" applyFont="1" applyBorder="1" applyAlignment="1">
      <alignment horizontal="center"/>
    </xf>
    <xf numFmtId="0" fontId="102" fillId="0" borderId="29" xfId="0" applyFont="1" applyBorder="1" applyAlignment="1">
      <alignment horizontal="center"/>
    </xf>
    <xf numFmtId="0" fontId="96" fillId="0" borderId="32" xfId="0" applyFont="1" applyBorder="1" applyAlignment="1">
      <alignment horizontal="left"/>
    </xf>
    <xf numFmtId="6" fontId="96" fillId="0" borderId="20" xfId="0" applyNumberFormat="1" applyFont="1" applyBorder="1"/>
    <xf numFmtId="6" fontId="96" fillId="0" borderId="22" xfId="0" applyNumberFormat="1" applyFont="1" applyBorder="1"/>
    <xf numFmtId="3" fontId="96" fillId="0" borderId="14" xfId="0" applyNumberFormat="1" applyFont="1" applyBorder="1"/>
    <xf numFmtId="6" fontId="96" fillId="0" borderId="0" xfId="0" applyNumberFormat="1" applyFont="1"/>
    <xf numFmtId="0" fontId="96" fillId="0" borderId="33" xfId="0" applyFont="1" applyBorder="1" applyAlignment="1">
      <alignment horizontal="left"/>
    </xf>
    <xf numFmtId="0" fontId="96" fillId="0" borderId="25" xfId="0" applyFont="1" applyBorder="1"/>
    <xf numFmtId="6" fontId="96" fillId="0" borderId="25" xfId="0" applyNumberFormat="1" applyFont="1" applyBorder="1"/>
    <xf numFmtId="6" fontId="96" fillId="0" borderId="21" xfId="0" applyNumberFormat="1" applyFont="1" applyBorder="1"/>
    <xf numFmtId="0" fontId="96" fillId="0" borderId="39" xfId="0" applyFont="1" applyBorder="1" applyAlignment="1">
      <alignment horizontal="left"/>
    </xf>
    <xf numFmtId="6" fontId="96" fillId="0" borderId="40" xfId="0" applyNumberFormat="1" applyFont="1" applyBorder="1"/>
    <xf numFmtId="0" fontId="102" fillId="0" borderId="14" xfId="0" applyFont="1" applyBorder="1" applyAlignment="1">
      <alignment horizontal="left"/>
    </xf>
    <xf numFmtId="6" fontId="102" fillId="0" borderId="45" xfId="0" applyNumberFormat="1" applyFont="1" applyBorder="1"/>
    <xf numFmtId="0" fontId="96" fillId="0" borderId="0" xfId="0" applyFont="1" applyAlignment="1">
      <alignment horizontal="left"/>
    </xf>
    <xf numFmtId="0" fontId="96" fillId="0" borderId="14" xfId="0" applyFont="1" applyBorder="1"/>
    <xf numFmtId="0" fontId="96" fillId="0" borderId="63" xfId="0" applyFont="1" applyBorder="1" applyAlignment="1">
      <alignment horizontal="left"/>
    </xf>
    <xf numFmtId="6" fontId="96" fillId="0" borderId="105" xfId="0" applyNumberFormat="1" applyFont="1" applyBorder="1"/>
    <xf numFmtId="0" fontId="102" fillId="0" borderId="45" xfId="0" applyFont="1" applyBorder="1"/>
    <xf numFmtId="0" fontId="96" fillId="25" borderId="0" xfId="0" applyFont="1" applyFill="1"/>
    <xf numFmtId="6" fontId="96" fillId="25" borderId="0" xfId="0" applyNumberFormat="1" applyFont="1" applyFill="1"/>
    <xf numFmtId="0" fontId="58" fillId="0" borderId="0" xfId="0" applyFont="1" applyFill="1"/>
    <xf numFmtId="0" fontId="58" fillId="0" borderId="0" xfId="0" applyFont="1" applyFill="1" applyBorder="1"/>
    <xf numFmtId="44" fontId="90" fillId="0" borderId="0" xfId="9" applyFont="1" applyFill="1"/>
    <xf numFmtId="165" fontId="91" fillId="0" borderId="0" xfId="2" applyNumberFormat="1" applyFont="1" applyFill="1" applyBorder="1"/>
    <xf numFmtId="173" fontId="64" fillId="0" borderId="0" xfId="12" applyNumberFormat="1" applyFont="1"/>
    <xf numFmtId="0" fontId="59" fillId="0" borderId="98" xfId="2" applyFont="1" applyBorder="1"/>
    <xf numFmtId="0" fontId="65" fillId="0" borderId="0" xfId="12" applyFont="1" applyBorder="1"/>
    <xf numFmtId="0" fontId="64" fillId="0" borderId="0" xfId="12" applyFont="1" applyBorder="1" applyAlignment="1">
      <alignment horizontal="right"/>
    </xf>
    <xf numFmtId="0" fontId="64" fillId="0" borderId="0" xfId="0" applyFont="1" applyBorder="1" applyAlignment="1">
      <alignment horizontal="right"/>
    </xf>
    <xf numFmtId="0" fontId="65" fillId="0" borderId="0" xfId="0" applyFont="1" applyBorder="1" applyAlignment="1">
      <alignment horizontal="right"/>
    </xf>
    <xf numFmtId="0" fontId="59" fillId="0" borderId="2" xfId="3" applyFont="1" applyBorder="1"/>
    <xf numFmtId="168" fontId="68" fillId="0" borderId="30" xfId="2" applyNumberFormat="1" applyFont="1" applyBorder="1"/>
    <xf numFmtId="8" fontId="69" fillId="11" borderId="30" xfId="2" applyNumberFormat="1" applyFont="1" applyFill="1" applyBorder="1"/>
    <xf numFmtId="165" fontId="71" fillId="0" borderId="0" xfId="12" applyNumberFormat="1" applyFont="1" applyFill="1" applyAlignment="1">
      <alignment horizontal="center"/>
    </xf>
    <xf numFmtId="0" fontId="59" fillId="0" borderId="0" xfId="3" applyFont="1" applyFill="1" applyBorder="1"/>
    <xf numFmtId="0" fontId="59" fillId="0" borderId="0" xfId="2" applyFont="1" applyFill="1" applyBorder="1"/>
    <xf numFmtId="0" fontId="59" fillId="0" borderId="0" xfId="11" applyFont="1" applyFill="1"/>
    <xf numFmtId="167" fontId="99" fillId="0" borderId="95" xfId="2" applyNumberFormat="1" applyFont="1" applyBorder="1" applyAlignment="1">
      <alignment horizontal="right"/>
    </xf>
    <xf numFmtId="167" fontId="90" fillId="6" borderId="0" xfId="2" applyNumberFormat="1" applyFont="1" applyFill="1" applyBorder="1" applyAlignment="1">
      <alignment horizontal="right"/>
    </xf>
    <xf numFmtId="167" fontId="90" fillId="6" borderId="96" xfId="2" applyNumberFormat="1" applyFont="1" applyFill="1" applyBorder="1" applyAlignment="1">
      <alignment horizontal="right"/>
    </xf>
    <xf numFmtId="165" fontId="91" fillId="0" borderId="103" xfId="2" applyNumberFormat="1" applyFont="1" applyBorder="1" applyAlignment="1">
      <alignment horizontal="right"/>
    </xf>
    <xf numFmtId="165" fontId="91" fillId="0" borderId="102" xfId="2" applyNumberFormat="1" applyFont="1" applyBorder="1" applyAlignment="1">
      <alignment horizontal="right"/>
    </xf>
    <xf numFmtId="165" fontId="91" fillId="0" borderId="104" xfId="2" applyNumberFormat="1" applyFont="1" applyBorder="1" applyAlignment="1">
      <alignment horizontal="right"/>
    </xf>
    <xf numFmtId="0" fontId="101" fillId="9" borderId="0" xfId="3" applyFont="1" applyFill="1" applyBorder="1" applyAlignment="1">
      <alignment horizontal="center"/>
    </xf>
    <xf numFmtId="167" fontId="90" fillId="26" borderId="0" xfId="2" applyNumberFormat="1" applyFont="1" applyFill="1" applyBorder="1" applyAlignment="1">
      <alignment horizontal="right"/>
    </xf>
    <xf numFmtId="165" fontId="91" fillId="9" borderId="102" xfId="2" applyNumberFormat="1" applyFont="1" applyFill="1" applyBorder="1" applyAlignment="1">
      <alignment horizontal="right"/>
    </xf>
    <xf numFmtId="168" fontId="89" fillId="11" borderId="4" xfId="5" applyNumberFormat="1" applyFont="1" applyFill="1" applyBorder="1"/>
    <xf numFmtId="168" fontId="75" fillId="0" borderId="58" xfId="5" applyNumberFormat="1" applyFont="1" applyBorder="1"/>
    <xf numFmtId="0" fontId="61" fillId="19" borderId="52" xfId="0" applyFont="1" applyFill="1" applyBorder="1"/>
    <xf numFmtId="0" fontId="61" fillId="0" borderId="106" xfId="0" applyFont="1" applyBorder="1"/>
    <xf numFmtId="168" fontId="61" fillId="0" borderId="50" xfId="2" applyNumberFormat="1" applyFont="1" applyBorder="1"/>
    <xf numFmtId="168" fontId="61" fillId="0" borderId="52" xfId="11" applyNumberFormat="1" applyFont="1" applyBorder="1"/>
    <xf numFmtId="168" fontId="19" fillId="0" borderId="50" xfId="2" applyNumberFormat="1" applyFont="1" applyBorder="1"/>
    <xf numFmtId="168" fontId="17" fillId="23" borderId="53" xfId="6" applyNumberFormat="1" applyFont="1" applyFill="1" applyBorder="1" applyAlignment="1">
      <alignment horizontal="right"/>
    </xf>
    <xf numFmtId="168" fontId="74" fillId="0" borderId="50" xfId="2" applyNumberFormat="1" applyFont="1" applyBorder="1"/>
    <xf numFmtId="168" fontId="19" fillId="0" borderId="55" xfId="5" applyNumberFormat="1" applyFont="1" applyBorder="1"/>
    <xf numFmtId="168" fontId="19" fillId="0" borderId="52" xfId="0" applyNumberFormat="1" applyFont="1" applyBorder="1"/>
    <xf numFmtId="168" fontId="19" fillId="0" borderId="57" xfId="5" applyNumberFormat="1" applyFont="1" applyBorder="1"/>
    <xf numFmtId="4" fontId="17" fillId="0" borderId="52" xfId="0" applyNumberFormat="1" applyFont="1" applyBorder="1"/>
    <xf numFmtId="168" fontId="68" fillId="13" borderId="69" xfId="6" applyNumberFormat="1" applyFont="1" applyFill="1" applyBorder="1" applyAlignment="1">
      <alignment horizontal="right"/>
    </xf>
    <xf numFmtId="168" fontId="68" fillId="0" borderId="107" xfId="0" applyNumberFormat="1" applyFont="1" applyBorder="1"/>
    <xf numFmtId="168" fontId="68" fillId="0" borderId="107" xfId="5" applyNumberFormat="1" applyFont="1" applyBorder="1"/>
    <xf numFmtId="4" fontId="68" fillId="0" borderId="68" xfId="0" applyNumberFormat="1" applyFont="1" applyBorder="1"/>
    <xf numFmtId="0" fontId="103" fillId="5" borderId="0" xfId="2" applyFont="1" applyFill="1" applyBorder="1" applyAlignment="1">
      <alignment horizontal="center" wrapText="1"/>
    </xf>
    <xf numFmtId="0" fontId="104" fillId="27" borderId="0" xfId="0" applyFont="1" applyFill="1" applyBorder="1"/>
    <xf numFmtId="167" fontId="103" fillId="27" borderId="0" xfId="2" applyNumberFormat="1" applyFont="1" applyFill="1" applyBorder="1" applyAlignment="1">
      <alignment horizontal="center"/>
    </xf>
    <xf numFmtId="0" fontId="104" fillId="5" borderId="0" xfId="0" applyFont="1" applyFill="1" applyBorder="1"/>
    <xf numFmtId="168" fontId="104" fillId="5" borderId="0" xfId="2" applyNumberFormat="1" applyFont="1" applyFill="1" applyBorder="1"/>
    <xf numFmtId="0" fontId="103" fillId="5" borderId="0" xfId="11" applyFont="1" applyFill="1" applyBorder="1"/>
    <xf numFmtId="168" fontId="105" fillId="5" borderId="0" xfId="2" applyNumberFormat="1" applyFont="1" applyFill="1" applyBorder="1"/>
    <xf numFmtId="168" fontId="105" fillId="5" borderId="0" xfId="6" applyNumberFormat="1" applyFont="1" applyFill="1" applyBorder="1" applyAlignment="1">
      <alignment horizontal="right"/>
    </xf>
    <xf numFmtId="168" fontId="105" fillId="28" borderId="0" xfId="6" applyNumberFormat="1" applyFont="1" applyFill="1" applyBorder="1" applyAlignment="1">
      <alignment horizontal="right"/>
    </xf>
    <xf numFmtId="0" fontId="105" fillId="5" borderId="0" xfId="0" applyFont="1" applyFill="1" applyBorder="1"/>
    <xf numFmtId="168" fontId="106" fillId="5" borderId="0" xfId="5" applyNumberFormat="1" applyFont="1" applyFill="1" applyBorder="1"/>
    <xf numFmtId="168" fontId="105" fillId="5" borderId="0" xfId="0" applyNumberFormat="1" applyFont="1" applyFill="1" applyBorder="1"/>
    <xf numFmtId="168" fontId="105" fillId="5" borderId="0" xfId="5" applyNumberFormat="1" applyFont="1" applyFill="1" applyBorder="1"/>
    <xf numFmtId="4" fontId="105" fillId="5" borderId="0" xfId="0" applyNumberFormat="1" applyFont="1" applyFill="1" applyBorder="1"/>
    <xf numFmtId="4" fontId="104" fillId="5" borderId="0" xfId="0" applyNumberFormat="1" applyFont="1" applyFill="1" applyBorder="1"/>
    <xf numFmtId="4" fontId="58" fillId="0" borderId="0" xfId="0" applyNumberFormat="1" applyFont="1" applyBorder="1"/>
    <xf numFmtId="0" fontId="58" fillId="17" borderId="12" xfId="0" applyFont="1" applyFill="1" applyBorder="1"/>
    <xf numFmtId="167" fontId="57" fillId="17" borderId="52" xfId="0" applyNumberFormat="1" applyFont="1" applyFill="1" applyBorder="1"/>
    <xf numFmtId="167" fontId="57" fillId="10" borderId="30" xfId="0" applyNumberFormat="1" applyFont="1" applyFill="1" applyBorder="1"/>
    <xf numFmtId="168" fontId="58" fillId="17" borderId="52" xfId="0" applyNumberFormat="1" applyFont="1" applyFill="1" applyBorder="1"/>
    <xf numFmtId="168" fontId="58" fillId="10" borderId="30" xfId="0" applyNumberFormat="1" applyFont="1" applyFill="1" applyBorder="1"/>
    <xf numFmtId="44" fontId="90" fillId="17" borderId="16" xfId="9" applyFont="1" applyFill="1" applyBorder="1"/>
    <xf numFmtId="0" fontId="58" fillId="17" borderId="17" xfId="0" applyFont="1" applyFill="1" applyBorder="1"/>
    <xf numFmtId="168" fontId="90" fillId="17" borderId="17" xfId="9" applyNumberFormat="1" applyFont="1" applyFill="1" applyBorder="1"/>
    <xf numFmtId="44" fontId="90" fillId="17" borderId="17" xfId="9" applyFont="1" applyFill="1" applyBorder="1"/>
    <xf numFmtId="0" fontId="90" fillId="17" borderId="17" xfId="0" applyFont="1" applyFill="1" applyBorder="1"/>
    <xf numFmtId="7" fontId="90" fillId="10" borderId="18" xfId="9" applyNumberFormat="1" applyFont="1" applyFill="1" applyBorder="1"/>
    <xf numFmtId="8" fontId="32" fillId="20" borderId="54" xfId="3" applyNumberFormat="1" applyFont="1" applyFill="1" applyBorder="1"/>
    <xf numFmtId="4" fontId="17" fillId="20" borderId="56" xfId="5" applyNumberFormat="1" applyFont="1" applyFill="1" applyBorder="1"/>
    <xf numFmtId="0" fontId="0" fillId="0" borderId="0" xfId="0" applyFill="1" applyBorder="1"/>
    <xf numFmtId="0" fontId="21" fillId="0" borderId="0" xfId="0" applyFont="1" applyFill="1" applyBorder="1"/>
    <xf numFmtId="0" fontId="5" fillId="0" borderId="0" xfId="0" applyFont="1" applyFill="1" applyBorder="1"/>
    <xf numFmtId="168" fontId="0" fillId="0" borderId="0" xfId="0" applyNumberFormat="1" applyFill="1"/>
    <xf numFmtId="0" fontId="1" fillId="0" borderId="0" xfId="6" applyFill="1"/>
    <xf numFmtId="0" fontId="43" fillId="0" borderId="0" xfId="0" applyFont="1" applyFill="1" applyBorder="1"/>
    <xf numFmtId="44" fontId="29" fillId="0" borderId="0" xfId="0" applyNumberFormat="1" applyFont="1" applyFill="1"/>
    <xf numFmtId="44" fontId="43" fillId="0" borderId="0" xfId="0" applyNumberFormat="1" applyFont="1" applyFill="1"/>
    <xf numFmtId="0" fontId="17" fillId="3" borderId="52" xfId="6" applyFont="1" applyBorder="1" applyAlignment="1">
      <alignment horizontal="right"/>
    </xf>
    <xf numFmtId="0" fontId="17" fillId="3" borderId="0" xfId="6" applyFont="1" applyBorder="1" applyAlignment="1">
      <alignment horizontal="right"/>
    </xf>
    <xf numFmtId="168" fontId="17" fillId="23" borderId="0" xfId="6" applyNumberFormat="1" applyFont="1" applyFill="1" applyBorder="1" applyAlignment="1">
      <alignment horizontal="right"/>
    </xf>
    <xf numFmtId="168" fontId="17" fillId="23" borderId="52" xfId="6" applyNumberFormat="1" applyFont="1" applyFill="1" applyBorder="1" applyAlignment="1">
      <alignment horizontal="right"/>
    </xf>
    <xf numFmtId="168" fontId="68" fillId="0" borderId="68" xfId="2" applyNumberFormat="1" applyFont="1" applyBorder="1"/>
    <xf numFmtId="44" fontId="32" fillId="0" borderId="30" xfId="3" applyNumberFormat="1" applyFont="1" applyBorder="1"/>
    <xf numFmtId="43" fontId="96" fillId="0" borderId="14" xfId="0" applyNumberFormat="1" applyFont="1" applyBorder="1"/>
    <xf numFmtId="10" fontId="96" fillId="14" borderId="14" xfId="0" applyNumberFormat="1" applyFont="1" applyFill="1" applyBorder="1"/>
    <xf numFmtId="9" fontId="0" fillId="14" borderId="0" xfId="0" applyNumberFormat="1" applyFill="1"/>
    <xf numFmtId="166" fontId="0" fillId="14" borderId="0" xfId="17" applyNumberFormat="1" applyFont="1" applyFill="1"/>
    <xf numFmtId="9" fontId="0" fillId="14" borderId="92" xfId="0" applyNumberFormat="1" applyFill="1" applyBorder="1"/>
    <xf numFmtId="9" fontId="0" fillId="14" borderId="93" xfId="0" applyNumberFormat="1" applyFill="1" applyBorder="1"/>
    <xf numFmtId="9" fontId="0" fillId="14" borderId="94" xfId="0" applyNumberFormat="1" applyFill="1" applyBorder="1"/>
    <xf numFmtId="166" fontId="0" fillId="14" borderId="95" xfId="0" applyNumberFormat="1" applyFill="1" applyBorder="1"/>
    <xf numFmtId="166" fontId="0" fillId="14" borderId="0" xfId="0" applyNumberFormat="1" applyFill="1" applyBorder="1"/>
    <xf numFmtId="166" fontId="0" fillId="14" borderId="96" xfId="0" applyNumberFormat="1" applyFill="1" applyBorder="1"/>
    <xf numFmtId="168" fontId="26" fillId="23" borderId="62" xfId="6" applyNumberFormat="1" applyFont="1" applyFill="1" applyBorder="1"/>
    <xf numFmtId="168" fontId="51" fillId="23" borderId="0" xfId="6" applyNumberFormat="1" applyFont="1" applyFill="1" applyBorder="1"/>
    <xf numFmtId="168" fontId="1" fillId="23" borderId="0" xfId="6" applyNumberFormat="1" applyFont="1" applyFill="1" applyBorder="1"/>
    <xf numFmtId="0" fontId="96" fillId="5" borderId="0" xfId="0" applyFont="1" applyFill="1" applyBorder="1"/>
    <xf numFmtId="43" fontId="96" fillId="5" borderId="0" xfId="0" applyNumberFormat="1" applyFont="1" applyFill="1" applyBorder="1"/>
    <xf numFmtId="168" fontId="1" fillId="0" borderId="0" xfId="0" applyNumberFormat="1" applyFont="1"/>
    <xf numFmtId="0" fontId="107" fillId="0" borderId="12" xfId="0" applyFont="1" applyBorder="1" applyAlignment="1">
      <alignment wrapText="1"/>
    </xf>
    <xf numFmtId="0" fontId="107" fillId="0" borderId="0" xfId="0" applyFont="1" applyBorder="1" applyAlignment="1">
      <alignment wrapText="1"/>
    </xf>
    <xf numFmtId="0" fontId="107" fillId="0" borderId="17" xfId="0" applyFont="1" applyBorder="1" applyAlignment="1">
      <alignment vertical="top" wrapText="1"/>
    </xf>
    <xf numFmtId="0" fontId="102" fillId="0" borderId="0" xfId="0" applyFont="1" applyBorder="1" applyAlignment="1">
      <alignment horizontal="left"/>
    </xf>
    <xf numFmtId="6" fontId="102" fillId="0" borderId="0" xfId="0" applyNumberFormat="1" applyFont="1" applyBorder="1"/>
    <xf numFmtId="8" fontId="96" fillId="0" borderId="36" xfId="0" applyNumberFormat="1" applyFont="1" applyBorder="1"/>
    <xf numFmtId="168" fontId="51" fillId="0" borderId="90" xfId="5" applyNumberFormat="1" applyFont="1" applyBorder="1"/>
    <xf numFmtId="168" fontId="53" fillId="5" borderId="53" xfId="16" applyFont="1"/>
    <xf numFmtId="165" fontId="108" fillId="3" borderId="0" xfId="6" applyNumberFormat="1" applyFont="1" applyBorder="1" applyAlignment="1">
      <alignment horizontal="right"/>
    </xf>
    <xf numFmtId="165" fontId="108" fillId="4" borderId="0" xfId="6" applyNumberFormat="1" applyFont="1" applyFill="1" applyBorder="1" applyAlignment="1">
      <alignment horizontal="right"/>
    </xf>
    <xf numFmtId="165" fontId="108" fillId="13" borderId="0" xfId="6" applyNumberFormat="1" applyFont="1" applyFill="1" applyBorder="1" applyAlignment="1">
      <alignment horizontal="right"/>
    </xf>
    <xf numFmtId="10" fontId="96" fillId="0" borderId="0" xfId="10" applyNumberFormat="1" applyFont="1"/>
    <xf numFmtId="8" fontId="102" fillId="0" borderId="0" xfId="0" applyNumberFormat="1" applyFont="1" applyBorder="1"/>
    <xf numFmtId="0" fontId="102" fillId="0" borderId="0" xfId="0" applyFont="1" applyBorder="1"/>
    <xf numFmtId="0" fontId="96" fillId="0" borderId="0" xfId="0" applyFont="1" applyBorder="1"/>
    <xf numFmtId="44" fontId="96" fillId="0" borderId="33" xfId="9" applyFont="1" applyBorder="1"/>
    <xf numFmtId="44" fontId="96" fillId="0" borderId="32" xfId="9" applyFont="1" applyBorder="1"/>
    <xf numFmtId="44" fontId="96" fillId="0" borderId="39" xfId="9" applyFont="1" applyBorder="1"/>
    <xf numFmtId="44" fontId="102" fillId="0" borderId="45" xfId="9" applyFont="1" applyBorder="1"/>
    <xf numFmtId="44" fontId="102" fillId="0" borderId="14" xfId="9" applyFont="1" applyBorder="1"/>
    <xf numFmtId="6" fontId="96" fillId="0" borderId="26" xfId="0" applyNumberFormat="1" applyFont="1" applyBorder="1"/>
    <xf numFmtId="6" fontId="96" fillId="0" borderId="27" xfId="0" applyNumberFormat="1" applyFont="1" applyBorder="1"/>
    <xf numFmtId="0" fontId="96" fillId="0" borderId="40" xfId="0" applyFont="1" applyBorder="1"/>
    <xf numFmtId="6" fontId="96" fillId="0" borderId="41" xfId="0" applyNumberFormat="1" applyFont="1" applyBorder="1"/>
    <xf numFmtId="6" fontId="96" fillId="0" borderId="42" xfId="0" applyNumberFormat="1" applyFont="1" applyBorder="1"/>
    <xf numFmtId="6" fontId="102" fillId="0" borderId="108" xfId="0" applyNumberFormat="1" applyFont="1" applyBorder="1"/>
    <xf numFmtId="6" fontId="102" fillId="0" borderId="109" xfId="0" applyNumberFormat="1" applyFont="1" applyBorder="1"/>
    <xf numFmtId="6" fontId="102" fillId="0" borderId="26" xfId="0" applyNumberFormat="1" applyFont="1" applyBorder="1"/>
    <xf numFmtId="6" fontId="102" fillId="0" borderId="27" xfId="0" applyNumberFormat="1" applyFont="1" applyBorder="1"/>
    <xf numFmtId="6" fontId="96" fillId="0" borderId="82" xfId="0" applyNumberFormat="1" applyFont="1" applyBorder="1"/>
    <xf numFmtId="6" fontId="96" fillId="0" borderId="110" xfId="0" applyNumberFormat="1" applyFont="1" applyBorder="1"/>
    <xf numFmtId="6" fontId="96" fillId="0" borderId="111" xfId="0" applyNumberFormat="1" applyFont="1" applyBorder="1"/>
    <xf numFmtId="6" fontId="1" fillId="3" borderId="30" xfId="6" applyNumberFormat="1" applyFont="1" applyBorder="1"/>
    <xf numFmtId="0" fontId="103" fillId="0" borderId="0" xfId="3" applyFont="1" applyBorder="1"/>
    <xf numFmtId="168" fontId="103" fillId="0" borderId="0" xfId="3" applyNumberFormat="1" applyFont="1" applyBorder="1"/>
    <xf numFmtId="168" fontId="103" fillId="0" borderId="0" xfId="2" applyNumberFormat="1" applyFont="1" applyBorder="1"/>
    <xf numFmtId="0" fontId="103" fillId="0" borderId="0" xfId="2" applyFont="1" applyBorder="1"/>
    <xf numFmtId="168" fontId="103" fillId="0" borderId="52" xfId="2" applyNumberFormat="1" applyFont="1" applyBorder="1"/>
    <xf numFmtId="44" fontId="0" fillId="0" borderId="0" xfId="9" applyFont="1" applyAlignment="1">
      <alignment horizontal="left"/>
    </xf>
    <xf numFmtId="0" fontId="65" fillId="0" borderId="0" xfId="12" applyFont="1" applyBorder="1" applyAlignment="1">
      <alignment horizontal="right"/>
    </xf>
    <xf numFmtId="0" fontId="65" fillId="0" borderId="0" xfId="12" applyFont="1" applyAlignment="1">
      <alignment horizontal="right"/>
    </xf>
    <xf numFmtId="0" fontId="102" fillId="0" borderId="0" xfId="0" applyFont="1" applyAlignment="1">
      <alignment horizontal="center" vertical="center"/>
    </xf>
    <xf numFmtId="0" fontId="102" fillId="0" borderId="16" xfId="0" applyFont="1" applyBorder="1" applyAlignment="1">
      <alignment vertical="center"/>
    </xf>
    <xf numFmtId="0" fontId="102" fillId="0" borderId="17" xfId="0" applyFont="1" applyBorder="1" applyAlignment="1">
      <alignment vertical="center"/>
    </xf>
    <xf numFmtId="0" fontId="109" fillId="0" borderId="11" xfId="0" applyFont="1" applyBorder="1" applyAlignment="1">
      <alignment horizontal="center" vertical="center"/>
    </xf>
    <xf numFmtId="0" fontId="109" fillId="0" borderId="0" xfId="0" applyFont="1" applyAlignment="1">
      <alignment horizontal="center" vertical="center"/>
    </xf>
    <xf numFmtId="0" fontId="110" fillId="0" borderId="0" xfId="0" applyFont="1"/>
    <xf numFmtId="44" fontId="32" fillId="0" borderId="112" xfId="3" applyNumberFormat="1" applyFont="1" applyBorder="1"/>
    <xf numFmtId="168" fontId="58" fillId="0" borderId="0" xfId="0" applyNumberFormat="1" applyFont="1" applyBorder="1"/>
    <xf numFmtId="44" fontId="111" fillId="0" borderId="0" xfId="0" applyNumberFormat="1" applyFont="1"/>
    <xf numFmtId="168" fontId="90" fillId="0" borderId="0" xfId="9" applyNumberFormat="1" applyFont="1"/>
    <xf numFmtId="0" fontId="83" fillId="0" borderId="92" xfId="0" applyFont="1" applyBorder="1" applyAlignment="1">
      <alignment horizontal="center"/>
    </xf>
    <xf numFmtId="0" fontId="83" fillId="0" borderId="93" xfId="0" applyFont="1" applyBorder="1" applyAlignment="1">
      <alignment horizontal="center"/>
    </xf>
    <xf numFmtId="0" fontId="83" fillId="0" borderId="94" xfId="0" applyFont="1" applyBorder="1" applyAlignment="1">
      <alignment horizontal="center"/>
    </xf>
    <xf numFmtId="0" fontId="84" fillId="0" borderId="95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4" fillId="0" borderId="96" xfId="0" applyFont="1" applyBorder="1" applyAlignment="1">
      <alignment horizontal="center"/>
    </xf>
    <xf numFmtId="0" fontId="86" fillId="0" borderId="95" xfId="0" applyFont="1" applyBorder="1" applyAlignment="1">
      <alignment horizontal="center" vertical="top" wrapText="1"/>
    </xf>
    <xf numFmtId="0" fontId="86" fillId="0" borderId="0" xfId="0" applyFont="1" applyBorder="1" applyAlignment="1">
      <alignment horizontal="center" vertical="top" wrapText="1"/>
    </xf>
    <xf numFmtId="0" fontId="86" fillId="0" borderId="96" xfId="0" applyFont="1" applyBorder="1" applyAlignment="1">
      <alignment horizontal="center" vertical="top" wrapText="1"/>
    </xf>
    <xf numFmtId="0" fontId="87" fillId="0" borderId="95" xfId="0" applyFont="1" applyBorder="1" applyAlignment="1">
      <alignment horizontal="center"/>
    </xf>
    <xf numFmtId="0" fontId="87" fillId="0" borderId="0" xfId="0" applyFont="1" applyBorder="1" applyAlignment="1">
      <alignment horizontal="center"/>
    </xf>
    <xf numFmtId="0" fontId="87" fillId="0" borderId="96" xfId="0" applyFont="1" applyBorder="1" applyAlignment="1">
      <alignment horizontal="center"/>
    </xf>
    <xf numFmtId="0" fontId="87" fillId="0" borderId="97" xfId="0" applyFont="1" applyBorder="1" applyAlignment="1">
      <alignment horizontal="center"/>
    </xf>
    <xf numFmtId="0" fontId="87" fillId="0" borderId="98" xfId="0" applyFont="1" applyBorder="1" applyAlignment="1">
      <alignment horizontal="center"/>
    </xf>
    <xf numFmtId="0" fontId="87" fillId="0" borderId="99" xfId="0" applyFont="1" applyBorder="1" applyAlignment="1">
      <alignment horizontal="center"/>
    </xf>
    <xf numFmtId="0" fontId="5" fillId="0" borderId="1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44" fontId="5" fillId="0" borderId="15" xfId="9" applyFont="1" applyBorder="1" applyAlignment="1">
      <alignment horizontal="center" vertical="center"/>
    </xf>
    <xf numFmtId="44" fontId="5" fillId="0" borderId="29" xfId="9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5" fillId="11" borderId="18" xfId="0" applyFont="1" applyFill="1" applyBorder="1" applyAlignment="1">
      <alignment horizontal="center" vertical="center"/>
    </xf>
    <xf numFmtId="44" fontId="0" fillId="0" borderId="0" xfId="9" applyFont="1" applyAlignment="1">
      <alignment horizontal="left"/>
    </xf>
    <xf numFmtId="0" fontId="98" fillId="17" borderId="11" xfId="0" applyFont="1" applyFill="1" applyBorder="1" applyAlignment="1">
      <alignment horizontal="center" vertical="center"/>
    </xf>
    <xf numFmtId="0" fontId="98" fillId="17" borderId="12" xfId="0" applyFont="1" applyFill="1" applyBorder="1" applyAlignment="1">
      <alignment horizontal="center" vertical="center"/>
    </xf>
    <xf numFmtId="0" fontId="98" fillId="17" borderId="52" xfId="0" applyFont="1" applyFill="1" applyBorder="1" applyAlignment="1">
      <alignment horizontal="center" vertical="center"/>
    </xf>
    <xf numFmtId="0" fontId="98" fillId="17" borderId="0" xfId="0" applyFont="1" applyFill="1" applyBorder="1" applyAlignment="1">
      <alignment horizontal="center" vertical="center"/>
    </xf>
    <xf numFmtId="0" fontId="58" fillId="10" borderId="13" xfId="0" applyFont="1" applyFill="1" applyBorder="1" applyAlignment="1">
      <alignment horizontal="center" vertical="center"/>
    </xf>
    <xf numFmtId="0" fontId="58" fillId="10" borderId="30" xfId="0" applyFont="1" applyFill="1" applyBorder="1" applyAlignment="1">
      <alignment horizontal="center" vertical="center"/>
    </xf>
    <xf numFmtId="167" fontId="59" fillId="6" borderId="50" xfId="2" applyNumberFormat="1" applyFont="1" applyFill="1" applyBorder="1" applyAlignment="1">
      <alignment horizontal="center"/>
    </xf>
    <xf numFmtId="167" fontId="59" fillId="6" borderId="73" xfId="2" applyNumberFormat="1" applyFont="1" applyFill="1" applyBorder="1" applyAlignment="1">
      <alignment horizontal="center"/>
    </xf>
    <xf numFmtId="0" fontId="59" fillId="0" borderId="11" xfId="2" applyFont="1" applyBorder="1" applyAlignment="1">
      <alignment horizontal="center" wrapText="1"/>
    </xf>
    <xf numFmtId="0" fontId="59" fillId="0" borderId="12" xfId="2" applyFont="1" applyBorder="1" applyAlignment="1">
      <alignment horizontal="center" wrapText="1"/>
    </xf>
    <xf numFmtId="0" fontId="65" fillId="0" borderId="0" xfId="12" applyFont="1" applyBorder="1" applyAlignment="1">
      <alignment horizontal="center"/>
    </xf>
    <xf numFmtId="0" fontId="65" fillId="0" borderId="0" xfId="12" applyFont="1" applyAlignment="1">
      <alignment horizontal="center"/>
    </xf>
    <xf numFmtId="0" fontId="65" fillId="0" borderId="0" xfId="12" applyFont="1" applyAlignment="1">
      <alignment horizontal="right" vertical="center" readingOrder="1"/>
    </xf>
    <xf numFmtId="0" fontId="65" fillId="0" borderId="0" xfId="12" applyFont="1" applyBorder="1" applyAlignment="1">
      <alignment horizontal="right"/>
    </xf>
    <xf numFmtId="0" fontId="65" fillId="0" borderId="0" xfId="12" applyFont="1" applyAlignment="1">
      <alignment horizontal="right"/>
    </xf>
    <xf numFmtId="0" fontId="100" fillId="0" borderId="92" xfId="2" applyFont="1" applyBorder="1" applyAlignment="1">
      <alignment horizontal="center"/>
    </xf>
    <xf numFmtId="0" fontId="100" fillId="0" borderId="93" xfId="2" applyFont="1" applyBorder="1" applyAlignment="1">
      <alignment horizontal="center"/>
    </xf>
    <xf numFmtId="0" fontId="100" fillId="0" borderId="94" xfId="2" applyFont="1" applyBorder="1" applyAlignment="1">
      <alignment horizontal="center"/>
    </xf>
    <xf numFmtId="0" fontId="1" fillId="2" borderId="9" xfId="4" applyFont="1" applyBorder="1" applyAlignment="1">
      <alignment horizontal="center" wrapText="1"/>
    </xf>
    <xf numFmtId="0" fontId="1" fillId="2" borderId="10" xfId="4" applyFont="1" applyBorder="1" applyAlignment="1">
      <alignment horizontal="center" wrapText="1"/>
    </xf>
    <xf numFmtId="0" fontId="107" fillId="0" borderId="97" xfId="0" applyFont="1" applyBorder="1" applyAlignment="1">
      <alignment horizontal="center"/>
    </xf>
    <xf numFmtId="0" fontId="107" fillId="0" borderId="98" xfId="0" applyFont="1" applyBorder="1" applyAlignment="1">
      <alignment horizontal="center"/>
    </xf>
    <xf numFmtId="0" fontId="107" fillId="0" borderId="99" xfId="0" applyFont="1" applyBorder="1" applyAlignment="1">
      <alignment horizontal="center"/>
    </xf>
    <xf numFmtId="0" fontId="102" fillId="0" borderId="15" xfId="0" applyFont="1" applyBorder="1" applyAlignment="1">
      <alignment horizontal="left" vertical="center"/>
    </xf>
    <xf numFmtId="0" fontId="102" fillId="0" borderId="29" xfId="0" applyFont="1" applyBorder="1" applyAlignment="1">
      <alignment horizontal="left" vertical="center"/>
    </xf>
    <xf numFmtId="0" fontId="102" fillId="0" borderId="15" xfId="0" applyFont="1" applyBorder="1" applyAlignment="1">
      <alignment horizontal="center" vertical="center"/>
    </xf>
    <xf numFmtId="0" fontId="102" fillId="0" borderId="29" xfId="0" applyFont="1" applyBorder="1" applyAlignment="1">
      <alignment horizontal="center" vertical="center"/>
    </xf>
    <xf numFmtId="0" fontId="102" fillId="0" borderId="44" xfId="0" applyFont="1" applyBorder="1" applyAlignment="1">
      <alignment horizontal="center"/>
    </xf>
    <xf numFmtId="0" fontId="102" fillId="0" borderId="60" xfId="0" applyFont="1" applyBorder="1" applyAlignment="1">
      <alignment horizontal="center"/>
    </xf>
    <xf numFmtId="0" fontId="102" fillId="0" borderId="43" xfId="0" applyFont="1" applyBorder="1" applyAlignment="1">
      <alignment horizontal="center"/>
    </xf>
    <xf numFmtId="0" fontId="102" fillId="0" borderId="31" xfId="0" applyFont="1" applyBorder="1" applyAlignment="1">
      <alignment horizontal="left" vertical="center"/>
    </xf>
    <xf numFmtId="0" fontId="102" fillId="0" borderId="31" xfId="0" applyFont="1" applyBorder="1" applyAlignment="1">
      <alignment horizontal="center" vertical="center"/>
    </xf>
    <xf numFmtId="0" fontId="102" fillId="0" borderId="15" xfId="0" applyFont="1" applyBorder="1" applyAlignment="1">
      <alignment horizontal="left" vertical="center" wrapText="1"/>
    </xf>
    <xf numFmtId="0" fontId="102" fillId="0" borderId="29" xfId="0" applyFont="1" applyBorder="1" applyAlignment="1">
      <alignment horizontal="left" vertical="center" wrapText="1"/>
    </xf>
    <xf numFmtId="0" fontId="109" fillId="0" borderId="0" xfId="0" applyFont="1" applyAlignment="1">
      <alignment horizontal="center" vertical="center"/>
    </xf>
    <xf numFmtId="0" fontId="109" fillId="0" borderId="12" xfId="0" applyFont="1" applyBorder="1" applyAlignment="1">
      <alignment horizontal="center" vertical="center"/>
    </xf>
  </cellXfs>
  <cellStyles count="18">
    <cellStyle name="20% - Accent3" xfId="6" builtinId="38"/>
    <cellStyle name="20% - Accent6" xfId="13" builtinId="50"/>
    <cellStyle name="Comma" xfId="17" builtinId="3"/>
    <cellStyle name="Comma 2" xfId="14" xr:uid="{A37301A4-C2A0-4640-A178-4C0E6433902A}"/>
    <cellStyle name="Currency" xfId="9" builtinId="4"/>
    <cellStyle name="Currency 2" xfId="8" xr:uid="{00000000-0005-0000-0000-000003000000}"/>
    <cellStyle name="Explanatory Text" xfId="12" builtinId="53"/>
    <cellStyle name="Heading 1" xfId="2" builtinId="16"/>
    <cellStyle name="Heading 2" xfId="3" builtinId="17"/>
    <cellStyle name="Heading 3" xfId="15" builtinId="18"/>
    <cellStyle name="Heading 4" xfId="11" builtinId="19"/>
    <cellStyle name="Heading 5" xfId="16" xr:uid="{8EB75290-AB86-4D26-9BEB-58DE21BB882F}"/>
    <cellStyle name="Normal" xfId="0" builtinId="0"/>
    <cellStyle name="Normal 2" xfId="7" xr:uid="{00000000-0005-0000-0000-000007000000}"/>
    <cellStyle name="Note" xfId="4" builtinId="10"/>
    <cellStyle name="Percent" xfId="10" builtinId="5"/>
    <cellStyle name="Title" xfId="1" builtinId="15"/>
    <cellStyle name="Total" xfId="5" builtinId="25"/>
  </cellStyles>
  <dxfs count="0"/>
  <tableStyles count="0" defaultTableStyle="TableStyleMedium2" defaultPivotStyle="PivotStyleLight16"/>
  <colors>
    <mruColors>
      <color rgb="FF954ECA"/>
      <color rgb="FFFFE1E1"/>
      <color rgb="FFFFE7F3"/>
      <color rgb="FF7F0F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809625</xdr:colOff>
      <xdr:row>53</xdr:row>
      <xdr:rowOff>19051</xdr:rowOff>
    </xdr:from>
    <xdr:to>
      <xdr:col>14</xdr:col>
      <xdr:colOff>65416</xdr:colOff>
      <xdr:row>69</xdr:row>
      <xdr:rowOff>198350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5C19508-E1FF-41F6-9597-8A303C78990F}"/>
            </a:ext>
          </a:extLst>
        </xdr:cNvPr>
        <xdr:cNvSpPr txBox="1"/>
      </xdr:nvSpPr>
      <xdr:spPr>
        <a:xfrm rot="1800000">
          <a:off x="4133850" y="10591801"/>
          <a:ext cx="7866391" cy="3370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0">
              <a:solidFill>
                <a:schemeClr val="bg2">
                  <a:lumMod val="50000"/>
                  <a:alpha val="40000"/>
                </a:schemeClr>
              </a:solidFill>
            </a:rPr>
            <a:t>DRAFT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19050</xdr:rowOff>
    </xdr:from>
    <xdr:to>
      <xdr:col>0</xdr:col>
      <xdr:colOff>626745</xdr:colOff>
      <xdr:row>0</xdr:row>
      <xdr:rowOff>473927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235B58-8837-49F4-B71B-7E07C452D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9050"/>
          <a:ext cx="436245" cy="4548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445985</xdr:colOff>
      <xdr:row>33</xdr:row>
      <xdr:rowOff>124666</xdr:rowOff>
    </xdr:from>
    <xdr:to>
      <xdr:col>27</xdr:col>
      <xdr:colOff>478525</xdr:colOff>
      <xdr:row>50</xdr:row>
      <xdr:rowOff>66205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870A83-CDFA-4A21-B960-1899A7698849}"/>
            </a:ext>
          </a:extLst>
        </xdr:cNvPr>
        <xdr:cNvSpPr txBox="1"/>
      </xdr:nvSpPr>
      <xdr:spPr>
        <a:xfrm rot="1800000">
          <a:off x="11902986" y="7174584"/>
          <a:ext cx="7918314" cy="33510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0">
              <a:solidFill>
                <a:schemeClr val="bg2">
                  <a:lumMod val="50000"/>
                  <a:alpha val="40000"/>
                </a:schemeClr>
              </a:solidFill>
            </a:rPr>
            <a:t>DRAFT</a:t>
          </a:r>
        </a:p>
      </xdr:txBody>
    </xdr:sp>
    <xdr:clientData fLock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issa Morales" id="{F753E909-A947-4C1D-85CB-8A755C36280D}" userId="S::cityclerk@sanantonioflorida.org::df7444ce-466f-456f-93f9-f9dcb38520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7" dT="2022-08-17T15:37:27.21" personId="{F753E909-A947-4C1D-85CB-8A755C36280D}" id="{8171E015-AEAA-4C1C-83EB-8E85FBAC0994}">
    <text xml:space="preserve">Fund allocated by Murtha &amp; Murtha from State Revenue Sharing </text>
  </threadedComment>
  <threadedComment ref="E41" dT="2022-08-17T15:38:20.63" personId="{F753E909-A947-4C1D-85CB-8A755C36280D}" id="{1DA63C77-B8D8-484C-BAA7-91F9715D9751}">
    <text>Lost revenue in FY 21-22 due to AFR filing</text>
  </threadedComment>
  <threadedComment ref="H54" dT="2022-08-17T15:41:18.76" personId="{F753E909-A947-4C1D-85CB-8A755C36280D}" id="{3DF73F91-49F3-49E0-9561-6940AEBCCBFC}">
    <text>No longer receiving as of FY 21-22</text>
  </threadedComment>
  <threadedComment ref="H57" dT="2022-08-17T15:50:36.82" personId="{F753E909-A947-4C1D-85CB-8A755C36280D}" id="{1E2F39D2-0A04-471D-A001-9CEC7E675C43}">
    <text>$2715 per loan schedule, rounded for accounting purposes</text>
  </threadedComment>
  <threadedComment ref="H62" dT="2022-08-19T14:35:18.31" personId="{F753E909-A947-4C1D-85CB-8A755C36280D}" id="{01BF9FE3-82EA-4B29-BF42-65BA6A67C5FC}">
    <text>Estimated 25 home permitted in Carmela, San Antonio Station, Al Mar</text>
  </threadedComment>
  <threadedComment ref="H73" dT="2022-08-17T15:53:03.49" personId="{F753E909-A947-4C1D-85CB-8A755C36280D}" id="{8BBE64AC-E303-4EC5-BA6B-C32F703B2549}">
    <text>Selling extra tractor &amp; Chevy if replaced?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4" dT="2022-08-19T12:38:39.29" personId="{F753E909-A947-4C1D-85CB-8A755C36280D}" id="{57204DAB-8E6F-4005-BB05-F75831A427B6}">
    <text>FRS Contribution Rate Increased to 11.91%</text>
  </threadedComment>
  <threadedComment ref="L22" dT="2022-08-19T12:20:17.58" personId="{F753E909-A947-4C1D-85CB-8A755C36280D}" id="{ECF570EC-A562-47A3-8055-6E181D5F57FA}">
    <text>FY 22-23: 18500</text>
  </threadedComment>
  <threadedComment ref="L24" dT="2022-08-17T16:59:41.23" personId="{F753E909-A947-4C1D-85CB-8A755C36280D}" id="{7ED02389-4A38-4B26-981A-FE3BFF68339D}">
    <text>FY 22-23:
Liability: 12000
Cyber Liability: 1000
Auto Liability: 1500</text>
  </threadedComment>
  <threadedComment ref="L26" dT="2022-08-19T12:23:00.04" personId="{F753E909-A947-4C1D-85CB-8A755C36280D}" id="{3D2CA462-D51B-430B-ABDA-6F130A006F3D}">
    <text>FY 22-23:
Property: 8900
Auto: 1100</text>
  </threadedComment>
  <threadedComment ref="L43" dT="2022-08-17T17:02:38.64" personId="{F753E909-A947-4C1D-85CB-8A755C36280D}" id="{AD46EBAE-2EE8-4F7A-ADA0-8ACA5EE0B724}">
    <text>Continued contract with CFRPC</text>
  </threadedComment>
  <threadedComment ref="L55" dT="2022-08-17T17:04:45.33" personId="{F753E909-A947-4C1D-85CB-8A755C36280D}" id="{C63E6119-986B-4229-AFFB-8A91C0FB6B07}">
    <text>Estimated at $11538</text>
  </threadedComment>
  <threadedComment ref="L75" dT="2022-08-17T17:10:53.26" personId="{F753E909-A947-4C1D-85CB-8A755C36280D}" id="{1A8DA00C-8BED-47CA-A7F2-35800CB93813}">
    <text>Includes Mallory $60 monthly and Neuhofer $180 monthly + buffer</text>
  </threadedComment>
  <threadedComment ref="L78" dT="2022-08-17T17:32:37.14" personId="{F753E909-A947-4C1D-85CB-8A755C36280D}" id="{B41F9E1E-CF57-4F7C-A842-9CA764DFACA5}">
    <text>FACC + IIMC + PCACC</text>
  </threadedComment>
  <threadedComment ref="L81" dT="2022-08-17T17:32:10.82" personId="{F753E909-A947-4C1D-85CB-8A755C36280D}" id="{94D9392B-0C2C-472F-AD2B-52E743D33B02}">
    <text>MAP + FLC</text>
  </threadedComment>
  <threadedComment ref="I98" dT="2022-08-17T17:33:39.17" personId="{F753E909-A947-4C1D-85CB-8A755C36280D}" id="{11A2777A-5EB2-4F20-A4A8-5F547B087979}">
    <text>Kubota, Mini Excavator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32" dT="2022-08-18T16:48:44.74" personId="{F753E909-A947-4C1D-85CB-8A755C36280D}" id="{A6ED344E-81E4-4F50-A2E9-43A1DB0820F9}">
    <text>Murtha &amp; Murtha &amp; Bodine Perry</text>
  </threadedComment>
  <threadedComment ref="A35" dT="2022-08-18T16:56:58.00" personId="{F753E909-A947-4C1D-85CB-8A755C36280D}" id="{D4C96EB1-4B5E-4347-B643-1FB36B3DB3A5}">
    <text>Spectrum, Verizon, Ring Authority</text>
  </threadedComment>
  <threadedComment ref="A38" dT="2022-08-18T16:58:00.31" personId="{F753E909-A947-4C1D-85CB-8A755C36280D}" id="{620BF1AF-F250-446D-8770-068774EFF44A}">
    <text>TECO</text>
  </threadedComment>
  <threadedComment ref="A41" dT="2022-08-18T17:02:14.77" personId="{F753E909-A947-4C1D-85CB-8A755C36280D}" id="{E69AF895-6BCF-4C16-BA10-1014C80F9A79}">
    <text>Softline Support</text>
  </threadedComment>
  <threadedComment ref="A42" dT="2022-08-18T17:02:52.71" personId="{F753E909-A947-4C1D-85CB-8A755C36280D}" id="{B956F60A-6230-4774-8064-EADD99784198}">
    <text>Mailings/Stamps, RICOH, Bill Cards</text>
  </threadedComment>
  <threadedComment ref="A44" dT="2022-08-18T17:06:10.04" personId="{F753E909-A947-4C1D-85CB-8A755C36280D}" id="{A1C8F068-87E5-467C-8CC9-3FA541C5E9BF}">
    <text>TBT Legal Ads</text>
  </threadedComment>
  <threadedComment ref="A52" dT="2022-08-18T16:49:13.90" personId="{F753E909-A947-4C1D-85CB-8A755C36280D}" id="{7A2EA557-C25B-4AD1-A1CF-B9330552D55F}">
    <text>Aclus Engineering &amp; Attorney</text>
  </threadedComment>
  <threadedComment ref="I102" dT="2022-08-19T14:44:29.66" personId="{F753E909-A947-4C1D-85CB-8A755C36280D}" id="{D0FCBF8D-DC20-4D8E-860E-2754A649D887}">
    <text>20 New Construction Accounts + Normal New Customers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L6" dT="2022-08-16T17:29:06.38" personId="{F753E909-A947-4C1D-85CB-8A755C36280D}" id="{27B7B469-C6FE-4614-B111-248D5CA65F0E}">
    <text>Estimated 8% Increase for 2023</text>
  </threadedComment>
  <threadedComment ref="L8" dT="2022-08-16T17:39:58.92" personId="{F753E909-A947-4C1D-85CB-8A755C36280D}" id="{97E39038-B897-49B1-83C1-3FA2B3C80665}">
    <text>FMIT = 76.5 monthly per employee</text>
  </threadedComment>
  <threadedComment ref="F65" dT="2022-09-07T16:13:19.69" personId="{F753E909-A947-4C1D-85CB-8A755C36280D}" id="{77FBEF99-B7B0-4C09-A087-6C026D07CE2A}">
    <text>Special pay increase instead of % increase. Adjust formulas for FY 23/24</text>
  </threadedComment>
</ThreadedComment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8AC37-EB38-48F7-B7B8-5F6B7D2C7805}">
  <dimension ref="A1:F41"/>
  <sheetViews>
    <sheetView workbookViewId="0">
      <selection activeCell="A4" sqref="A4"/>
    </sheetView>
  </sheetViews>
  <sheetFormatPr defaultColWidth="9.109375" defaultRowHeight="13.8" x14ac:dyDescent="0.25"/>
  <cols>
    <col min="1" max="1" width="61" style="376" bestFit="1" customWidth="1"/>
    <col min="2" max="2" width="16.88671875" style="376" bestFit="1" customWidth="1"/>
    <col min="3" max="3" width="5.6640625" style="376" customWidth="1"/>
    <col min="4" max="4" width="18.88671875" style="376" bestFit="1" customWidth="1"/>
    <col min="5" max="5" width="5.6640625" style="376" customWidth="1"/>
    <col min="6" max="6" width="16.88671875" style="376" bestFit="1" customWidth="1"/>
    <col min="7" max="16384" width="9.109375" style="376"/>
  </cols>
  <sheetData>
    <row r="1" spans="1:6" ht="37.799999999999997" x14ac:dyDescent="0.65">
      <c r="A1" s="691" t="s">
        <v>0</v>
      </c>
      <c r="B1" s="692"/>
      <c r="C1" s="692"/>
      <c r="D1" s="692"/>
      <c r="E1" s="692"/>
      <c r="F1" s="693"/>
    </row>
    <row r="2" spans="1:6" ht="30" x14ac:dyDescent="0.5">
      <c r="A2" s="694" t="s">
        <v>493</v>
      </c>
      <c r="B2" s="695"/>
      <c r="C2" s="695"/>
      <c r="D2" s="695"/>
      <c r="E2" s="695"/>
      <c r="F2" s="696"/>
    </row>
    <row r="3" spans="1:6" ht="39.75" customHeight="1" x14ac:dyDescent="0.25">
      <c r="A3" s="697" t="s">
        <v>496</v>
      </c>
      <c r="B3" s="698"/>
      <c r="C3" s="698"/>
      <c r="D3" s="698"/>
      <c r="E3" s="698"/>
      <c r="F3" s="699"/>
    </row>
    <row r="4" spans="1:6" x14ac:dyDescent="0.25">
      <c r="A4" s="377"/>
      <c r="B4" s="378"/>
      <c r="C4" s="378"/>
      <c r="D4" s="378"/>
      <c r="E4" s="378"/>
      <c r="F4" s="379"/>
    </row>
    <row r="5" spans="1:6" ht="17.399999999999999" x14ac:dyDescent="0.3">
      <c r="A5" s="478" t="s">
        <v>1</v>
      </c>
      <c r="B5" s="479">
        <f>Revenue!E3</f>
        <v>4.0199999999999996</v>
      </c>
      <c r="C5" s="378"/>
      <c r="D5" s="378"/>
      <c r="E5" s="378"/>
      <c r="F5" s="379"/>
    </row>
    <row r="6" spans="1:6" ht="6.75" customHeight="1" x14ac:dyDescent="0.25">
      <c r="A6" s="377"/>
      <c r="B6" s="378"/>
      <c r="C6" s="378"/>
      <c r="D6" s="378"/>
      <c r="E6" s="378"/>
      <c r="F6" s="379"/>
    </row>
    <row r="7" spans="1:6" ht="17.399999999999999" x14ac:dyDescent="0.3">
      <c r="A7" s="381"/>
      <c r="B7" s="382" t="s">
        <v>2</v>
      </c>
      <c r="C7" s="383"/>
      <c r="D7" s="384" t="s">
        <v>3</v>
      </c>
      <c r="E7" s="383"/>
      <c r="F7" s="385" t="s">
        <v>4</v>
      </c>
    </row>
    <row r="8" spans="1:6" ht="17.399999999999999" x14ac:dyDescent="0.3">
      <c r="A8" s="386" t="s">
        <v>5</v>
      </c>
      <c r="B8" s="382" t="s">
        <v>6</v>
      </c>
      <c r="C8" s="383"/>
      <c r="D8" s="384" t="s">
        <v>6</v>
      </c>
      <c r="E8" s="383"/>
      <c r="F8" s="385" t="s">
        <v>7</v>
      </c>
    </row>
    <row r="9" spans="1:6" ht="17.399999999999999" x14ac:dyDescent="0.3">
      <c r="A9" s="380" t="s">
        <v>8</v>
      </c>
      <c r="B9" s="387">
        <f>Revenue!H8</f>
        <v>372701.32343999995</v>
      </c>
      <c r="C9" s="388"/>
      <c r="D9" s="388">
        <v>0</v>
      </c>
      <c r="E9" s="388"/>
      <c r="F9" s="389">
        <f>B9+D9</f>
        <v>372701.32343999995</v>
      </c>
    </row>
    <row r="10" spans="1:6" ht="17.399999999999999" x14ac:dyDescent="0.3">
      <c r="A10" s="381" t="s">
        <v>9</v>
      </c>
      <c r="B10" s="388">
        <f>Revenue!H11+Revenue!H26+Revenue!H28+Revenue!H38+Revenue!H40+Revenue!H42+Revenue!H46</f>
        <v>254200</v>
      </c>
      <c r="C10" s="388"/>
      <c r="D10" s="388">
        <v>0</v>
      </c>
      <c r="E10" s="388"/>
      <c r="F10" s="390">
        <f t="shared" ref="F10:F16" si="0">B10+D10</f>
        <v>254200</v>
      </c>
    </row>
    <row r="11" spans="1:6" ht="17.399999999999999" x14ac:dyDescent="0.3">
      <c r="A11" s="381" t="s">
        <v>10</v>
      </c>
      <c r="B11" s="388">
        <v>0</v>
      </c>
      <c r="C11" s="388"/>
      <c r="D11" s="388">
        <f>'Water Fund'!I95+'Water Fund'!I99+'Water Fund'!I102</f>
        <v>312400</v>
      </c>
      <c r="E11" s="388"/>
      <c r="F11" s="390">
        <f t="shared" si="0"/>
        <v>312400</v>
      </c>
    </row>
    <row r="12" spans="1:6" ht="17.399999999999999" x14ac:dyDescent="0.3">
      <c r="A12" s="381" t="s">
        <v>11</v>
      </c>
      <c r="B12" s="388">
        <f>Revenue!H9+Revenue!H30+Revenue!H48+Revenue!H50+Revenue!H58</f>
        <v>612879.5</v>
      </c>
      <c r="C12" s="388"/>
      <c r="D12" s="388">
        <v>0</v>
      </c>
      <c r="E12" s="388"/>
      <c r="F12" s="390">
        <f t="shared" si="0"/>
        <v>612879.5</v>
      </c>
    </row>
    <row r="13" spans="1:6" ht="17.399999999999999" x14ac:dyDescent="0.3">
      <c r="A13" s="381" t="s">
        <v>12</v>
      </c>
      <c r="B13" s="388">
        <f>Revenue!H53</f>
        <v>0</v>
      </c>
      <c r="C13" s="388"/>
      <c r="D13" s="388">
        <v>0</v>
      </c>
      <c r="E13" s="388"/>
      <c r="F13" s="390">
        <f t="shared" si="0"/>
        <v>0</v>
      </c>
    </row>
    <row r="14" spans="1:6" ht="17.399999999999999" x14ac:dyDescent="0.3">
      <c r="A14" s="381" t="s">
        <v>13</v>
      </c>
      <c r="B14" s="388">
        <f>Revenue!H55+Revenue!H62+Revenue!H65+Revenue!H72</f>
        <v>1975700</v>
      </c>
      <c r="C14" s="388"/>
      <c r="D14" s="388">
        <f>'Water Fund'!I90+'Water Fund'!I104+'Water Fund'!I127</f>
        <v>10900</v>
      </c>
      <c r="E14" s="388"/>
      <c r="F14" s="390">
        <f t="shared" si="0"/>
        <v>1986600</v>
      </c>
    </row>
    <row r="15" spans="1:6" ht="17.399999999999999" x14ac:dyDescent="0.3">
      <c r="A15" s="381" t="s">
        <v>14</v>
      </c>
      <c r="B15" s="388">
        <f>Revenue!H19+Revenue!H22+Revenue!H24</f>
        <v>15900</v>
      </c>
      <c r="C15" s="388"/>
      <c r="D15" s="388">
        <v>0</v>
      </c>
      <c r="E15" s="388"/>
      <c r="F15" s="390">
        <f t="shared" si="0"/>
        <v>15900</v>
      </c>
    </row>
    <row r="16" spans="1:6" ht="17.399999999999999" x14ac:dyDescent="0.3">
      <c r="A16" s="381" t="s">
        <v>15</v>
      </c>
      <c r="B16" s="388">
        <f>Revenue!E60</f>
        <v>0</v>
      </c>
      <c r="C16" s="388"/>
      <c r="D16" s="388">
        <v>0</v>
      </c>
      <c r="E16" s="388"/>
      <c r="F16" s="390">
        <f t="shared" si="0"/>
        <v>0</v>
      </c>
    </row>
    <row r="17" spans="1:6" ht="6.75" customHeight="1" x14ac:dyDescent="0.3">
      <c r="A17" s="381"/>
      <c r="B17" s="388"/>
      <c r="C17" s="388"/>
      <c r="D17" s="388"/>
      <c r="E17" s="388"/>
      <c r="F17" s="390"/>
    </row>
    <row r="18" spans="1:6" ht="17.399999999999999" x14ac:dyDescent="0.3">
      <c r="A18" s="381" t="s">
        <v>16</v>
      </c>
      <c r="B18" s="388">
        <f>SUM(B9:B16)</f>
        <v>3231380.8234399999</v>
      </c>
      <c r="C18" s="388"/>
      <c r="D18" s="388">
        <f>SUM(D9:D16)</f>
        <v>323300</v>
      </c>
      <c r="E18" s="388"/>
      <c r="F18" s="390">
        <f>B18+D18</f>
        <v>3554680.8234399999</v>
      </c>
    </row>
    <row r="19" spans="1:6" ht="6.75" customHeight="1" x14ac:dyDescent="0.3">
      <c r="A19" s="381"/>
      <c r="B19" s="388"/>
      <c r="C19" s="388"/>
      <c r="D19" s="388"/>
      <c r="E19" s="388"/>
      <c r="F19" s="390"/>
    </row>
    <row r="20" spans="1:6" ht="17.399999999999999" x14ac:dyDescent="0.3">
      <c r="A20" s="381" t="s">
        <v>17</v>
      </c>
      <c r="B20" s="388">
        <f>Revenue!H5</f>
        <v>2441790.9299999997</v>
      </c>
      <c r="C20" s="388"/>
      <c r="D20" s="388">
        <f>'Water Fund'!I123</f>
        <v>413100</v>
      </c>
      <c r="E20" s="388"/>
      <c r="F20" s="390">
        <f>B20+D20</f>
        <v>2854890.9299999997</v>
      </c>
    </row>
    <row r="21" spans="1:6" ht="6.75" customHeight="1" x14ac:dyDescent="0.3">
      <c r="A21" s="381"/>
      <c r="B21" s="388"/>
      <c r="C21" s="388"/>
      <c r="D21" s="388"/>
      <c r="E21" s="388"/>
      <c r="F21" s="390"/>
    </row>
    <row r="22" spans="1:6" ht="17.399999999999999" x14ac:dyDescent="0.3">
      <c r="A22" s="380" t="s">
        <v>18</v>
      </c>
      <c r="B22" s="387">
        <f>B18+B20</f>
        <v>5673171.7534400001</v>
      </c>
      <c r="C22" s="388"/>
      <c r="D22" s="387">
        <f>D18+D20</f>
        <v>736400</v>
      </c>
      <c r="E22" s="388"/>
      <c r="F22" s="389">
        <f>F18+F20</f>
        <v>6409571.7534400001</v>
      </c>
    </row>
    <row r="23" spans="1:6" ht="17.399999999999999" x14ac:dyDescent="0.3">
      <c r="A23" s="381"/>
      <c r="B23" s="388"/>
      <c r="C23" s="388"/>
      <c r="D23" s="388"/>
      <c r="E23" s="388"/>
      <c r="F23" s="390"/>
    </row>
    <row r="24" spans="1:6" ht="17.399999999999999" x14ac:dyDescent="0.3">
      <c r="A24" s="386" t="s">
        <v>19</v>
      </c>
      <c r="B24" s="388"/>
      <c r="C24" s="388"/>
      <c r="D24" s="388"/>
      <c r="E24" s="388"/>
      <c r="F24" s="390"/>
    </row>
    <row r="25" spans="1:6" ht="17.399999999999999" x14ac:dyDescent="0.3">
      <c r="A25" s="381" t="s">
        <v>20</v>
      </c>
      <c r="B25" s="388">
        <f>Expenditures!L23+Expenditures!L27+Expenditures!L29+Expenditures!L39+Expenditures!L42+Expenditures!L44++Expenditures!L48+Expenditures!L76+Expenditures!L79+Expenditures!L82+Expenditures!L89+Expenditures!L91-Expenditures!L37</f>
        <v>266160</v>
      </c>
      <c r="C25" s="388"/>
      <c r="D25" s="388">
        <f>'Water Fund'!I20+'Water Fund'!I22+'Water Fund'!I24+'Water Fund'!I26+'Water Fund'!I51+'Water Fund'!I56+'Water Fund'!I60+'Water Fund'!I72+'Water Fund'!I78</f>
        <v>232750</v>
      </c>
      <c r="E25" s="388"/>
      <c r="F25" s="390">
        <f>B25+D25</f>
        <v>498910</v>
      </c>
    </row>
    <row r="26" spans="1:6" ht="17.399999999999999" x14ac:dyDescent="0.3">
      <c r="A26" s="381" t="s">
        <v>21</v>
      </c>
      <c r="B26" s="388">
        <f>Expenditures!L46+Expenditures!L54+Expenditures!L107</f>
        <v>135000</v>
      </c>
      <c r="C26" s="388"/>
      <c r="D26" s="388">
        <f>'Water Fund'!I43</f>
        <v>2400</v>
      </c>
      <c r="E26" s="388"/>
      <c r="F26" s="390">
        <f t="shared" ref="F26:F37" si="1">B26+D26</f>
        <v>137400</v>
      </c>
    </row>
    <row r="27" spans="1:6" ht="17.399999999999999" x14ac:dyDescent="0.3">
      <c r="A27" s="381" t="s">
        <v>22</v>
      </c>
      <c r="B27" s="388">
        <f>Expenditures!L25+Expenditures!L52+Expenditures!L56+Expenditures!L60+Expenditures!L64+Expenditures!L66+Expenditures!L68+Expenditures!L74+Expenditures!L86+Expenditures!L93+Expenditures!L99+Expenditures!L105+Expenditures!L110</f>
        <v>2646654</v>
      </c>
      <c r="C27" s="388"/>
      <c r="D27" s="388">
        <f>'Water Fund'!I18+'Water Fund'!I53+'Water Fund'!I68+'Water Fund'!I76</f>
        <v>174900</v>
      </c>
      <c r="E27" s="388"/>
      <c r="F27" s="390">
        <f t="shared" si="1"/>
        <v>2821554</v>
      </c>
    </row>
    <row r="28" spans="1:6" ht="17.399999999999999" x14ac:dyDescent="0.3">
      <c r="A28" s="381" t="s">
        <v>23</v>
      </c>
      <c r="B28" s="388">
        <f>Expenditures!L50</f>
        <v>10000</v>
      </c>
      <c r="C28" s="388"/>
      <c r="D28" s="388">
        <f>'Water Fund'!I74+'Water Fund'!I81</f>
        <v>21000</v>
      </c>
      <c r="E28" s="388"/>
      <c r="F28" s="390">
        <f t="shared" si="1"/>
        <v>31000</v>
      </c>
    </row>
    <row r="29" spans="1:6" ht="17.399999999999999" x14ac:dyDescent="0.3">
      <c r="A29" s="381" t="s">
        <v>24</v>
      </c>
      <c r="B29" s="388">
        <v>0</v>
      </c>
      <c r="C29" s="388"/>
      <c r="D29" s="388">
        <f>'Water Fund'!I62+'Water Fund'!I70</f>
        <v>33500</v>
      </c>
      <c r="E29" s="388"/>
      <c r="F29" s="390">
        <f t="shared" si="1"/>
        <v>33500</v>
      </c>
    </row>
    <row r="30" spans="1:6" ht="17.399999999999999" x14ac:dyDescent="0.3">
      <c r="A30" s="381" t="s">
        <v>25</v>
      </c>
      <c r="B30" s="388">
        <f>Expenditures!L3+Expenditures!L13+Expenditures!L15+Expenditures!L17+Expenditures!L21</f>
        <v>282000</v>
      </c>
      <c r="C30" s="388"/>
      <c r="D30" s="388">
        <f>'Water Fund'!I3+'Water Fund'!I7+'Water Fund'!I9+'Water Fund'!I11+'Water Fund'!I14</f>
        <v>172500</v>
      </c>
      <c r="E30" s="388"/>
      <c r="F30" s="390">
        <f t="shared" si="1"/>
        <v>454500</v>
      </c>
    </row>
    <row r="31" spans="1:6" ht="17.399999999999999" x14ac:dyDescent="0.3">
      <c r="A31" s="381" t="s">
        <v>26</v>
      </c>
      <c r="B31" s="388">
        <v>15000</v>
      </c>
      <c r="C31" s="388"/>
      <c r="D31" s="388">
        <f>'Water Fund'!I39</f>
        <v>19500</v>
      </c>
      <c r="E31" s="388"/>
      <c r="F31" s="390">
        <f>B31+D31</f>
        <v>34500</v>
      </c>
    </row>
    <row r="32" spans="1:6" ht="6.75" customHeight="1" x14ac:dyDescent="0.3">
      <c r="A32" s="381"/>
      <c r="B32" s="388"/>
      <c r="C32" s="388"/>
      <c r="D32" s="388"/>
      <c r="E32" s="388"/>
      <c r="F32" s="390"/>
    </row>
    <row r="33" spans="1:6" ht="17.399999999999999" x14ac:dyDescent="0.3">
      <c r="A33" s="381" t="s">
        <v>27</v>
      </c>
      <c r="B33" s="388">
        <f>SUM(B25:B31)</f>
        <v>3354814</v>
      </c>
      <c r="C33" s="388"/>
      <c r="D33" s="388">
        <f>SUM(D25:D31)</f>
        <v>656550</v>
      </c>
      <c r="E33" s="388"/>
      <c r="F33" s="390">
        <f t="shared" si="1"/>
        <v>4011364</v>
      </c>
    </row>
    <row r="34" spans="1:6" ht="6.75" customHeight="1" x14ac:dyDescent="0.3">
      <c r="A34" s="381"/>
      <c r="B34" s="388"/>
      <c r="C34" s="388"/>
      <c r="D34" s="388"/>
      <c r="E34" s="388"/>
      <c r="F34" s="390"/>
    </row>
    <row r="35" spans="1:6" ht="17.399999999999999" x14ac:dyDescent="0.3">
      <c r="A35" s="381" t="s">
        <v>17</v>
      </c>
      <c r="B35" s="388">
        <f>B22-B33</f>
        <v>2318357.7534400001</v>
      </c>
      <c r="C35" s="388"/>
      <c r="D35" s="388">
        <f>D22-D33</f>
        <v>79850</v>
      </c>
      <c r="E35" s="388"/>
      <c r="F35" s="390">
        <f t="shared" si="1"/>
        <v>2398207.7534400001</v>
      </c>
    </row>
    <row r="36" spans="1:6" ht="17.399999999999999" x14ac:dyDescent="0.3">
      <c r="A36" s="381"/>
      <c r="B36" s="388"/>
      <c r="C36" s="388"/>
      <c r="D36" s="388"/>
      <c r="E36" s="388"/>
      <c r="F36" s="390"/>
    </row>
    <row r="37" spans="1:6" ht="17.399999999999999" x14ac:dyDescent="0.3">
      <c r="A37" s="380" t="s">
        <v>28</v>
      </c>
      <c r="B37" s="387">
        <f>B33+B35</f>
        <v>5673171.7534400001</v>
      </c>
      <c r="C37" s="388"/>
      <c r="D37" s="387">
        <f>D33+D35</f>
        <v>736400</v>
      </c>
      <c r="E37" s="388"/>
      <c r="F37" s="389">
        <f t="shared" si="1"/>
        <v>6409571.7534400001</v>
      </c>
    </row>
    <row r="38" spans="1:6" ht="17.399999999999999" x14ac:dyDescent="0.3">
      <c r="A38" s="380" t="s">
        <v>29</v>
      </c>
      <c r="B38" s="383"/>
      <c r="C38" s="383"/>
      <c r="D38" s="383"/>
      <c r="E38" s="383"/>
      <c r="F38" s="391"/>
    </row>
    <row r="39" spans="1:6" x14ac:dyDescent="0.25">
      <c r="A39" s="377"/>
      <c r="B39" s="378"/>
      <c r="C39" s="378"/>
      <c r="D39" s="378"/>
      <c r="E39" s="378"/>
      <c r="F39" s="379"/>
    </row>
    <row r="40" spans="1:6" ht="15" customHeight="1" x14ac:dyDescent="0.3">
      <c r="A40" s="700" t="s">
        <v>30</v>
      </c>
      <c r="B40" s="701"/>
      <c r="C40" s="701"/>
      <c r="D40" s="701"/>
      <c r="E40" s="701"/>
      <c r="F40" s="702"/>
    </row>
    <row r="41" spans="1:6" ht="17.399999999999999" x14ac:dyDescent="0.3">
      <c r="A41" s="703" t="s">
        <v>31</v>
      </c>
      <c r="B41" s="704"/>
      <c r="C41" s="704"/>
      <c r="D41" s="704"/>
      <c r="E41" s="704"/>
      <c r="F41" s="705"/>
    </row>
  </sheetData>
  <mergeCells count="5">
    <mergeCell ref="A1:F1"/>
    <mergeCell ref="A2:F2"/>
    <mergeCell ref="A3:F3"/>
    <mergeCell ref="A40:F40"/>
    <mergeCell ref="A41:F41"/>
  </mergeCells>
  <pageMargins left="0.7" right="0.7" top="0.75" bottom="0.75" header="0.3" footer="0.3"/>
  <pageSetup paperSize="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ADEFC-65FB-4CB2-A1AF-3E35F178964A}">
  <sheetPr>
    <tabColor theme="7" tint="-0.249977111117893"/>
    <pageSetUpPr fitToPage="1"/>
  </sheetPr>
  <dimension ref="A1:R164"/>
  <sheetViews>
    <sheetView topLeftCell="A156" zoomScale="139" zoomScaleNormal="139" workbookViewId="0">
      <selection activeCell="A164" sqref="A1:R164"/>
    </sheetView>
  </sheetViews>
  <sheetFormatPr defaultColWidth="8.88671875" defaultRowHeight="14.4" x14ac:dyDescent="0.3"/>
  <cols>
    <col min="1" max="1" width="24.6640625" customWidth="1"/>
    <col min="3" max="3" width="16.33203125" customWidth="1"/>
    <col min="4" max="4" width="14.44140625" customWidth="1"/>
    <col min="5" max="5" width="9" hidden="1" customWidth="1"/>
    <col min="7" max="7" width="33.33203125" customWidth="1"/>
    <col min="8" max="8" width="16.33203125" customWidth="1"/>
    <col min="9" max="9" width="14.44140625" customWidth="1"/>
    <col min="10" max="10" width="15.33203125" customWidth="1"/>
    <col min="11" max="11" width="10" hidden="1" customWidth="1"/>
    <col min="15" max="15" width="33.109375" bestFit="1" customWidth="1"/>
    <col min="17" max="17" width="16.33203125" bestFit="1" customWidth="1"/>
    <col min="18" max="18" width="14.44140625" bestFit="1" customWidth="1"/>
  </cols>
  <sheetData>
    <row r="1" spans="1:18" ht="15" thickBot="1" x14ac:dyDescent="0.35">
      <c r="A1" s="718" t="s">
        <v>32</v>
      </c>
      <c r="B1" s="719"/>
      <c r="C1" s="719"/>
      <c r="D1" s="720"/>
      <c r="G1" s="7" t="s">
        <v>33</v>
      </c>
      <c r="H1" s="8" t="s">
        <v>34</v>
      </c>
      <c r="I1" s="8" t="s">
        <v>35</v>
      </c>
      <c r="J1" s="8" t="s">
        <v>36</v>
      </c>
      <c r="K1" s="9" t="s">
        <v>37</v>
      </c>
      <c r="O1" s="712" t="s">
        <v>38</v>
      </c>
      <c r="P1" s="713"/>
      <c r="Q1" s="713"/>
      <c r="R1" s="714"/>
    </row>
    <row r="2" spans="1:18" ht="15" thickBot="1" x14ac:dyDescent="0.35">
      <c r="A2" s="721"/>
      <c r="B2" s="722"/>
      <c r="C2" s="722"/>
      <c r="D2" s="723"/>
      <c r="G2" s="10" t="s">
        <v>39</v>
      </c>
      <c r="H2" s="11">
        <f>SUM(B5,B19,B34,B48,B62,B76,B90)</f>
        <v>116040.65999999999</v>
      </c>
      <c r="I2" s="12">
        <f t="shared" ref="I2:J6" si="0">SUM(C5,C19,C34,C48,C62,C76,C90)</f>
        <v>68048.98</v>
      </c>
      <c r="J2" s="13">
        <f t="shared" si="0"/>
        <v>47991.689999999995</v>
      </c>
      <c r="K2" s="14">
        <f>SUM(I2:J2)</f>
        <v>116040.66999999998</v>
      </c>
      <c r="O2" s="715"/>
      <c r="P2" s="716"/>
      <c r="Q2" s="716"/>
      <c r="R2" s="717"/>
    </row>
    <row r="3" spans="1:18" x14ac:dyDescent="0.3">
      <c r="A3" s="710" t="s">
        <v>40</v>
      </c>
      <c r="B3" s="708" t="s">
        <v>34</v>
      </c>
      <c r="C3" s="15" t="s">
        <v>35</v>
      </c>
      <c r="D3" s="16" t="s">
        <v>36</v>
      </c>
      <c r="E3" s="8" t="s">
        <v>37</v>
      </c>
      <c r="G3" s="17" t="s">
        <v>41</v>
      </c>
      <c r="H3" s="18">
        <f>SUM(B6,B20,B35,B49,B63,B77,B91)</f>
        <v>3130.17</v>
      </c>
      <c r="I3" s="19">
        <f t="shared" si="0"/>
        <v>1820.3899999999999</v>
      </c>
      <c r="J3" s="20">
        <f t="shared" si="0"/>
        <v>1309.79</v>
      </c>
      <c r="K3" s="21">
        <f t="shared" ref="K3:K8" si="1">SUM(I3:J3)</f>
        <v>3130.18</v>
      </c>
      <c r="O3" s="710" t="s">
        <v>40</v>
      </c>
      <c r="P3" s="708" t="s">
        <v>34</v>
      </c>
      <c r="Q3" s="15" t="s">
        <v>35</v>
      </c>
      <c r="R3" s="16" t="s">
        <v>36</v>
      </c>
    </row>
    <row r="4" spans="1:18" ht="15" thickBot="1" x14ac:dyDescent="0.35">
      <c r="A4" s="711"/>
      <c r="B4" s="709"/>
      <c r="C4" s="22"/>
      <c r="D4" s="23"/>
      <c r="E4" s="24"/>
      <c r="G4" s="17" t="s">
        <v>42</v>
      </c>
      <c r="H4" s="18">
        <f>SUM(B7,B21,B36,B50,B64,B78,B92)</f>
        <v>4843.87</v>
      </c>
      <c r="I4" s="19">
        <f t="shared" si="0"/>
        <v>2834.2935000000002</v>
      </c>
      <c r="J4" s="20">
        <f t="shared" si="0"/>
        <v>2008.5764999999999</v>
      </c>
      <c r="K4" s="21">
        <f t="shared" si="1"/>
        <v>4842.87</v>
      </c>
      <c r="O4" s="711"/>
      <c r="P4" s="709"/>
      <c r="Q4" s="22">
        <v>0.75</v>
      </c>
      <c r="R4" s="23">
        <v>0.25</v>
      </c>
    </row>
    <row r="5" spans="1:18" ht="15" thickBot="1" x14ac:dyDescent="0.35">
      <c r="A5" s="25" t="s">
        <v>43</v>
      </c>
      <c r="B5" s="26">
        <v>33406.75</v>
      </c>
      <c r="C5" s="27">
        <v>21147.39</v>
      </c>
      <c r="D5" s="28">
        <v>12259.36</v>
      </c>
      <c r="E5" s="14">
        <f>C5+D5</f>
        <v>33406.75</v>
      </c>
      <c r="G5" s="17" t="s">
        <v>44</v>
      </c>
      <c r="H5" s="18">
        <f>SUM(B8,B22,B37,B51,B65,B79,B93)</f>
        <v>8363.56</v>
      </c>
      <c r="I5" s="19">
        <f t="shared" si="0"/>
        <v>4692.18</v>
      </c>
      <c r="J5" s="20">
        <f t="shared" si="0"/>
        <v>3671.36</v>
      </c>
      <c r="K5" s="21">
        <f t="shared" si="1"/>
        <v>8363.5400000000009</v>
      </c>
      <c r="O5" s="25" t="s">
        <v>45</v>
      </c>
      <c r="P5" s="26">
        <v>50000</v>
      </c>
      <c r="Q5" s="28">
        <f>ROUND(P5*$Q$4,2)</f>
        <v>37500</v>
      </c>
      <c r="R5" s="28">
        <f>ROUND(P5*$R$4,2)</f>
        <v>12500</v>
      </c>
    </row>
    <row r="6" spans="1:18" ht="15" thickBot="1" x14ac:dyDescent="0.35">
      <c r="A6" s="29" t="s">
        <v>41</v>
      </c>
      <c r="B6" s="18">
        <f>ROUND(B5*H37,2)</f>
        <v>1002.2</v>
      </c>
      <c r="C6" s="18">
        <f>ROUND(C5*H37,2)</f>
        <v>634.41999999999996</v>
      </c>
      <c r="D6" s="30">
        <f>ROUND(D5*H37,2)</f>
        <v>367.78</v>
      </c>
      <c r="E6" s="21">
        <f t="shared" ref="E6:E11" si="2">SUM(C6:D6)</f>
        <v>1002.1999999999999</v>
      </c>
      <c r="G6" s="17" t="s">
        <v>46</v>
      </c>
      <c r="H6" s="18">
        <f>SUM(B9,B23,B38,B52,B66,B80,B94)</f>
        <v>6462.66</v>
      </c>
      <c r="I6" s="19">
        <f t="shared" si="0"/>
        <v>2726.2817999999997</v>
      </c>
      <c r="J6" s="20">
        <f t="shared" si="0"/>
        <v>3736.3782000000001</v>
      </c>
      <c r="K6" s="21">
        <f t="shared" si="1"/>
        <v>6462.66</v>
      </c>
      <c r="O6" s="29" t="s">
        <v>41</v>
      </c>
      <c r="P6" s="18">
        <f>ROUND(P5*V37,2)</f>
        <v>0</v>
      </c>
      <c r="Q6" s="27">
        <f t="shared" ref="Q6:Q11" si="3">ROUND(P6*$Q$4,2)</f>
        <v>0</v>
      </c>
      <c r="R6" s="28">
        <f t="shared" ref="R6:R11" si="4">ROUND(P6*$R$4,2)</f>
        <v>0</v>
      </c>
    </row>
    <row r="7" spans="1:18" ht="15" thickBot="1" x14ac:dyDescent="0.35">
      <c r="A7" s="29" t="s">
        <v>42</v>
      </c>
      <c r="B7" s="18">
        <v>1676.52</v>
      </c>
      <c r="C7" s="18">
        <v>930.4</v>
      </c>
      <c r="D7" s="30">
        <v>745.12</v>
      </c>
      <c r="E7" s="21">
        <f t="shared" si="2"/>
        <v>1675.52</v>
      </c>
      <c r="G7" s="17" t="s">
        <v>47</v>
      </c>
      <c r="H7" s="18">
        <f>SUM(B10,B25,B39,B53,B67,B81,B95)</f>
        <v>39846.270000000004</v>
      </c>
      <c r="I7" s="19">
        <f t="shared" ref="I7:J8" si="5">SUM(C10,C25,C39,C53,C67,C81,C95)</f>
        <v>20224.2366</v>
      </c>
      <c r="J7" s="20">
        <f t="shared" si="5"/>
        <v>19622.0334</v>
      </c>
      <c r="K7" s="21">
        <f t="shared" si="1"/>
        <v>39846.270000000004</v>
      </c>
      <c r="O7" s="29" t="s">
        <v>42</v>
      </c>
      <c r="P7" s="18">
        <f>+P5*0.03</f>
        <v>1500</v>
      </c>
      <c r="Q7" s="27">
        <f t="shared" si="3"/>
        <v>1125</v>
      </c>
      <c r="R7" s="28">
        <f t="shared" si="4"/>
        <v>375</v>
      </c>
    </row>
    <row r="8" spans="1:18" ht="15" thickBot="1" x14ac:dyDescent="0.35">
      <c r="A8" s="29" t="s">
        <v>44</v>
      </c>
      <c r="B8" s="18">
        <f>ROUND(B5*H38,2)</f>
        <v>2555.62</v>
      </c>
      <c r="C8" s="18">
        <f>ROUND(C5*H38,2)</f>
        <v>1617.78</v>
      </c>
      <c r="D8" s="30">
        <f>ROUND(D5*H38,2)</f>
        <v>937.84</v>
      </c>
      <c r="E8" s="21">
        <f t="shared" si="2"/>
        <v>2555.62</v>
      </c>
      <c r="G8" s="31" t="s">
        <v>48</v>
      </c>
      <c r="H8" s="32">
        <f>SUM(B11,B26,B40,B54,B68,B82,B96)</f>
        <v>8658.4299999999985</v>
      </c>
      <c r="I8" s="33">
        <f t="shared" si="5"/>
        <v>5419.1799999999994</v>
      </c>
      <c r="J8" s="34">
        <f t="shared" si="5"/>
        <v>3239.26</v>
      </c>
      <c r="K8" s="35">
        <f t="shared" si="1"/>
        <v>8658.4399999999987</v>
      </c>
      <c r="O8" s="29" t="s">
        <v>44</v>
      </c>
      <c r="P8" s="18">
        <f>+P5*0.0765</f>
        <v>3825</v>
      </c>
      <c r="Q8" s="27">
        <f t="shared" si="3"/>
        <v>2868.75</v>
      </c>
      <c r="R8" s="28">
        <f t="shared" si="4"/>
        <v>956.25</v>
      </c>
    </row>
    <row r="9" spans="1:18" ht="15" thickBot="1" x14ac:dyDescent="0.35">
      <c r="A9" s="29" t="s">
        <v>46</v>
      </c>
      <c r="B9" s="36">
        <v>2796.42</v>
      </c>
      <c r="C9" s="37">
        <v>1071.97</v>
      </c>
      <c r="D9" s="38">
        <v>1724.45</v>
      </c>
      <c r="E9" s="21">
        <f t="shared" ref="E9" si="6">SUM(C9:D9)</f>
        <v>2796.42</v>
      </c>
      <c r="G9" s="39" t="s">
        <v>49</v>
      </c>
      <c r="H9" s="40">
        <f>SUM(H2+H4+H7+H8)</f>
        <v>169389.22999999998</v>
      </c>
      <c r="I9" s="40">
        <f t="shared" ref="I9:K9" si="7">SUM(I2+I4+I7+I8)</f>
        <v>96526.690099999993</v>
      </c>
      <c r="J9" s="40">
        <f t="shared" si="7"/>
        <v>72861.559899999993</v>
      </c>
      <c r="K9" s="40">
        <f t="shared" si="7"/>
        <v>169388.25</v>
      </c>
      <c r="O9" s="29" t="s">
        <v>46</v>
      </c>
      <c r="P9" s="36">
        <v>0</v>
      </c>
      <c r="Q9" s="27">
        <f t="shared" si="3"/>
        <v>0</v>
      </c>
      <c r="R9" s="28">
        <f t="shared" si="4"/>
        <v>0</v>
      </c>
    </row>
    <row r="10" spans="1:18" ht="15" thickBot="1" x14ac:dyDescent="0.35">
      <c r="A10" s="29" t="s">
        <v>47</v>
      </c>
      <c r="B10" s="36">
        <v>14212.1</v>
      </c>
      <c r="C10" s="37">
        <f>B10-D10</f>
        <v>8005.8600000000006</v>
      </c>
      <c r="D10" s="38">
        <v>6206.24</v>
      </c>
      <c r="E10" s="21">
        <f t="shared" si="2"/>
        <v>14212.1</v>
      </c>
      <c r="O10" s="29" t="s">
        <v>47</v>
      </c>
      <c r="P10" s="36">
        <f>14212.1*1.33</f>
        <v>18902.093000000001</v>
      </c>
      <c r="Q10" s="27">
        <f t="shared" si="3"/>
        <v>14176.57</v>
      </c>
      <c r="R10" s="28">
        <f t="shared" si="4"/>
        <v>4725.5200000000004</v>
      </c>
    </row>
    <row r="11" spans="1:18" ht="15" thickBot="1" x14ac:dyDescent="0.35">
      <c r="A11" s="41" t="s">
        <v>48</v>
      </c>
      <c r="B11" s="42">
        <f>ROUND(B5*2.25*0.01,2)</f>
        <v>751.65</v>
      </c>
      <c r="C11" s="43">
        <f t="shared" ref="C11:D11" si="8">ROUND(C5*2.25*0.01,2)</f>
        <v>475.82</v>
      </c>
      <c r="D11" s="44">
        <f t="shared" si="8"/>
        <v>275.83999999999997</v>
      </c>
      <c r="E11" s="21">
        <f t="shared" si="2"/>
        <v>751.66</v>
      </c>
      <c r="G11" s="7" t="s">
        <v>50</v>
      </c>
      <c r="H11" s="45" t="s">
        <v>34</v>
      </c>
      <c r="I11" s="45" t="s">
        <v>35</v>
      </c>
      <c r="J11" s="45" t="s">
        <v>36</v>
      </c>
      <c r="K11" s="451" t="s">
        <v>37</v>
      </c>
      <c r="O11" s="41" t="s">
        <v>48</v>
      </c>
      <c r="P11" s="42">
        <f>ROUND(P5*2.25*0.01,2)</f>
        <v>1125</v>
      </c>
      <c r="Q11" s="27">
        <f t="shared" si="3"/>
        <v>843.75</v>
      </c>
      <c r="R11" s="28">
        <f t="shared" si="4"/>
        <v>281.25</v>
      </c>
    </row>
    <row r="12" spans="1:18" ht="15.75" customHeight="1" thickBot="1" x14ac:dyDescent="0.35">
      <c r="A12" s="46" t="s">
        <v>51</v>
      </c>
      <c r="B12" s="47">
        <f>SUM(B6:B9)</f>
        <v>8030.76</v>
      </c>
      <c r="C12" s="48"/>
      <c r="D12" s="49"/>
      <c r="E12" s="50"/>
      <c r="O12" s="46" t="s">
        <v>51</v>
      </c>
      <c r="P12" s="47">
        <f>SUM(P6:P9)</f>
        <v>5325</v>
      </c>
      <c r="Q12" s="48"/>
      <c r="R12" s="49"/>
    </row>
    <row r="13" spans="1:18" ht="15.75" customHeight="1" thickBot="1" x14ac:dyDescent="0.35">
      <c r="A13" s="51" t="s">
        <v>52</v>
      </c>
      <c r="B13" s="52">
        <f>B5-B12</f>
        <v>25375.989999999998</v>
      </c>
      <c r="C13" s="53"/>
      <c r="D13" s="54"/>
      <c r="E13" s="55"/>
      <c r="O13" s="51" t="s">
        <v>52</v>
      </c>
      <c r="P13" s="52">
        <f>P5-P12</f>
        <v>44675</v>
      </c>
      <c r="Q13" s="53"/>
      <c r="R13" s="54"/>
    </row>
    <row r="14" spans="1:18" ht="15" thickBot="1" x14ac:dyDescent="0.35">
      <c r="A14" s="39" t="s">
        <v>49</v>
      </c>
      <c r="B14" s="56">
        <f>SUM(B5+B7+B10+B11)</f>
        <v>50047.02</v>
      </c>
      <c r="C14" s="56">
        <f t="shared" ref="C14:E14" si="9">SUM(C5+C7+C10+C11)</f>
        <v>30559.47</v>
      </c>
      <c r="D14" s="56">
        <f t="shared" si="9"/>
        <v>19486.560000000001</v>
      </c>
      <c r="E14" s="56">
        <f t="shared" si="9"/>
        <v>50046.03</v>
      </c>
      <c r="G14" s="57" t="s">
        <v>39</v>
      </c>
      <c r="H14" s="11">
        <f>SUM(B103,B116,B129,B142,B155)</f>
        <v>45007.619999999995</v>
      </c>
      <c r="I14" s="12">
        <f>SUM(C103,C116,C129,C142,C155)</f>
        <v>41587.790000000008</v>
      </c>
      <c r="J14" s="13">
        <f t="shared" ref="I14:J20" si="10">SUM(D103,D116,D129,D142,D155)</f>
        <v>3419.84</v>
      </c>
      <c r="K14" s="14">
        <f t="shared" ref="K14:K20" si="11">SUM(I14:J14)</f>
        <v>45007.630000000005</v>
      </c>
      <c r="O14" s="39" t="s">
        <v>49</v>
      </c>
      <c r="P14" s="56">
        <f>SUM(P5+P7+P10+P11)</f>
        <v>71527.092999999993</v>
      </c>
      <c r="Q14" s="56">
        <f t="shared" ref="Q14:R14" si="12">SUM(Q5+Q7+Q10+Q11)</f>
        <v>53645.32</v>
      </c>
      <c r="R14" s="56">
        <f t="shared" si="12"/>
        <v>17881.77</v>
      </c>
    </row>
    <row r="15" spans="1:18" ht="15" thickBot="1" x14ac:dyDescent="0.35">
      <c r="A15" s="39" t="s">
        <v>53</v>
      </c>
      <c r="B15" s="47">
        <f>B14/1662</f>
        <v>30.112527075812274</v>
      </c>
      <c r="C15" s="58"/>
      <c r="D15" s="58"/>
      <c r="E15" s="58"/>
      <c r="G15" s="17" t="s">
        <v>41</v>
      </c>
      <c r="H15" s="18">
        <f>SUM(B104,B117,B130,B143,B156)</f>
        <v>616.31600000000003</v>
      </c>
      <c r="I15" s="19">
        <f t="shared" si="10"/>
        <v>584.72</v>
      </c>
      <c r="J15" s="20">
        <f t="shared" si="10"/>
        <v>31.6</v>
      </c>
      <c r="K15" s="21">
        <f t="shared" si="11"/>
        <v>616.32000000000005</v>
      </c>
      <c r="O15" s="39" t="s">
        <v>53</v>
      </c>
      <c r="P15" s="138">
        <f>P14/2080</f>
        <v>34.38802548076923</v>
      </c>
      <c r="Q15" s="58"/>
      <c r="R15" s="58"/>
    </row>
    <row r="16" spans="1:18" ht="15" thickBot="1" x14ac:dyDescent="0.35">
      <c r="A16" s="59"/>
      <c r="B16" s="60"/>
      <c r="C16" s="60"/>
      <c r="D16" s="60"/>
      <c r="G16" s="17" t="s">
        <v>42</v>
      </c>
      <c r="H16" s="18">
        <f t="shared" ref="H16:H20" si="13">SUM(B105,B118,B131,B144,B157)</f>
        <v>3187.6</v>
      </c>
      <c r="I16" s="19">
        <f t="shared" si="10"/>
        <v>2989.3876</v>
      </c>
      <c r="J16" s="20">
        <f t="shared" si="10"/>
        <v>198.2124</v>
      </c>
      <c r="K16" s="21">
        <f t="shared" si="11"/>
        <v>3187.6</v>
      </c>
      <c r="O16" s="59"/>
      <c r="P16" s="60"/>
      <c r="Q16" s="60"/>
      <c r="R16" s="60"/>
    </row>
    <row r="17" spans="1:18" x14ac:dyDescent="0.3">
      <c r="A17" s="710" t="s">
        <v>54</v>
      </c>
      <c r="B17" s="708" t="s">
        <v>34</v>
      </c>
      <c r="C17" s="15" t="s">
        <v>35</v>
      </c>
      <c r="D17" s="16" t="s">
        <v>36</v>
      </c>
      <c r="E17" s="8" t="s">
        <v>37</v>
      </c>
      <c r="G17" s="17" t="s">
        <v>44</v>
      </c>
      <c r="H17" s="18">
        <f t="shared" si="13"/>
        <v>3443.09</v>
      </c>
      <c r="I17" s="19">
        <f t="shared" si="10"/>
        <v>3181.4700000000003</v>
      </c>
      <c r="J17" s="20">
        <f t="shared" si="10"/>
        <v>261.62</v>
      </c>
      <c r="K17" s="21">
        <f t="shared" si="11"/>
        <v>3443.09</v>
      </c>
      <c r="O17" s="710" t="s">
        <v>54</v>
      </c>
      <c r="P17" s="708" t="s">
        <v>34</v>
      </c>
      <c r="Q17" s="15" t="s">
        <v>35</v>
      </c>
      <c r="R17" s="16" t="s">
        <v>36</v>
      </c>
    </row>
    <row r="18" spans="1:18" ht="15" thickBot="1" x14ac:dyDescent="0.35">
      <c r="A18" s="711"/>
      <c r="B18" s="709"/>
      <c r="C18" s="22">
        <v>0.7</v>
      </c>
      <c r="D18" s="23">
        <v>0.3</v>
      </c>
      <c r="E18" s="24"/>
      <c r="G18" s="17" t="s">
        <v>46</v>
      </c>
      <c r="H18" s="18">
        <f t="shared" si="13"/>
        <v>9722.81</v>
      </c>
      <c r="I18" s="19">
        <f t="shared" si="10"/>
        <v>8967.7422000000006</v>
      </c>
      <c r="J18" s="20">
        <f t="shared" si="10"/>
        <v>755.06780000000003</v>
      </c>
      <c r="K18" s="21">
        <f t="shared" si="11"/>
        <v>9722.8100000000013</v>
      </c>
      <c r="O18" s="711"/>
      <c r="P18" s="709"/>
      <c r="Q18" s="22">
        <v>0.7</v>
      </c>
      <c r="R18" s="23">
        <v>0.3</v>
      </c>
    </row>
    <row r="19" spans="1:18" ht="15" thickBot="1" x14ac:dyDescent="0.35">
      <c r="A19" s="25" t="s">
        <v>55</v>
      </c>
      <c r="B19" s="26">
        <v>32109.49</v>
      </c>
      <c r="C19" s="27">
        <f>ROUND(B19*C18,2)</f>
        <v>22476.639999999999</v>
      </c>
      <c r="D19" s="28">
        <f>ROUND(B19*D18,2)</f>
        <v>9632.85</v>
      </c>
      <c r="E19" s="14">
        <f>C19+D19</f>
        <v>32109.489999999998</v>
      </c>
      <c r="G19" s="17" t="s">
        <v>47</v>
      </c>
      <c r="H19" s="18">
        <f t="shared" si="13"/>
        <v>12122.449999999999</v>
      </c>
      <c r="I19" s="19">
        <f t="shared" si="10"/>
        <v>11878.1396</v>
      </c>
      <c r="J19" s="20">
        <f t="shared" si="10"/>
        <v>244.31039999999996</v>
      </c>
      <c r="K19" s="21">
        <f t="shared" si="11"/>
        <v>12122.45</v>
      </c>
      <c r="O19" s="25" t="s">
        <v>55</v>
      </c>
      <c r="P19" s="26">
        <f>19.95*2080</f>
        <v>41496</v>
      </c>
      <c r="Q19" s="27">
        <f>ROUND(P19*$Q$18,2)</f>
        <v>29047.200000000001</v>
      </c>
      <c r="R19" s="28">
        <f>ROUND(P19*$R$18,2)</f>
        <v>12448.8</v>
      </c>
    </row>
    <row r="20" spans="1:18" ht="15" thickBot="1" x14ac:dyDescent="0.35">
      <c r="A20" s="29" t="s">
        <v>41</v>
      </c>
      <c r="B20" s="18">
        <f>ROUND(B19*H37,2)</f>
        <v>963.28</v>
      </c>
      <c r="C20" s="19">
        <f>ROUND(C19*H37,2)</f>
        <v>674.3</v>
      </c>
      <c r="D20" s="20">
        <f>ROUND(D19*H37,2)</f>
        <v>288.99</v>
      </c>
      <c r="E20" s="21">
        <f t="shared" ref="E20:E26" si="14">SUM(C20:D20)</f>
        <v>963.29</v>
      </c>
      <c r="G20" s="31" t="s">
        <v>48</v>
      </c>
      <c r="H20" s="32">
        <f t="shared" si="13"/>
        <v>4726.3900000000003</v>
      </c>
      <c r="I20" s="33">
        <f t="shared" si="10"/>
        <v>4230.5200000000004</v>
      </c>
      <c r="J20" s="34">
        <f t="shared" si="10"/>
        <v>495.88000000000005</v>
      </c>
      <c r="K20" s="35">
        <f t="shared" si="11"/>
        <v>4726.4000000000005</v>
      </c>
      <c r="O20" s="78" t="s">
        <v>56</v>
      </c>
      <c r="P20" s="26">
        <f>+P19*0.1*1.5</f>
        <v>6224.4000000000005</v>
      </c>
      <c r="Q20" s="27">
        <f>ROUND(P20*$Q$18,2)</f>
        <v>4357.08</v>
      </c>
      <c r="R20" s="28">
        <f>ROUND(P20*$R$18,2)</f>
        <v>1867.32</v>
      </c>
    </row>
    <row r="21" spans="1:18" ht="15" thickBot="1" x14ac:dyDescent="0.35">
      <c r="A21" s="29" t="s">
        <v>42</v>
      </c>
      <c r="B21" s="18">
        <v>1238.8</v>
      </c>
      <c r="C21" s="19">
        <f>B21*C18</f>
        <v>867.16</v>
      </c>
      <c r="D21" s="20">
        <f>B21*D18</f>
        <v>371.64</v>
      </c>
      <c r="E21" s="21">
        <f t="shared" si="14"/>
        <v>1238.8</v>
      </c>
      <c r="G21" s="39" t="s">
        <v>49</v>
      </c>
      <c r="H21" s="40">
        <f>SUM(H14+H16+H19+H20)</f>
        <v>65044.05999999999</v>
      </c>
      <c r="I21" s="40">
        <f t="shared" ref="I21:K21" si="15">SUM(I14+I16+I19+I20)</f>
        <v>60685.837200000009</v>
      </c>
      <c r="J21" s="40">
        <f t="shared" si="15"/>
        <v>4358.2428</v>
      </c>
      <c r="K21" s="40">
        <f t="shared" si="15"/>
        <v>65044.080000000009</v>
      </c>
      <c r="O21" s="29" t="s">
        <v>41</v>
      </c>
      <c r="P21" s="18">
        <f>ROUND(P19*V37,2)</f>
        <v>0</v>
      </c>
      <c r="Q21" s="27">
        <f t="shared" ref="Q21:Q27" si="16">ROUND(P21*$Q$18,2)</f>
        <v>0</v>
      </c>
      <c r="R21" s="28">
        <f t="shared" ref="R21:R27" si="17">ROUND(P21*$R$18,2)</f>
        <v>0</v>
      </c>
    </row>
    <row r="22" spans="1:18" ht="15" thickBot="1" x14ac:dyDescent="0.35">
      <c r="A22" s="29" t="s">
        <v>44</v>
      </c>
      <c r="B22" s="36">
        <f>ROUND(B19*H38,2)</f>
        <v>2456.38</v>
      </c>
      <c r="C22" s="37">
        <f>ROUND(C19*H38,2)</f>
        <v>1719.46</v>
      </c>
      <c r="D22" s="38">
        <f>ROUND(D19*H38,2)</f>
        <v>736.91</v>
      </c>
      <c r="E22" s="21">
        <f t="shared" si="14"/>
        <v>2456.37</v>
      </c>
      <c r="O22" s="29" t="s">
        <v>42</v>
      </c>
      <c r="P22" s="18">
        <f>(+P19+P20)*0.03</f>
        <v>1431.6120000000001</v>
      </c>
      <c r="Q22" s="27">
        <f t="shared" si="16"/>
        <v>1002.13</v>
      </c>
      <c r="R22" s="28">
        <f t="shared" si="17"/>
        <v>429.48</v>
      </c>
    </row>
    <row r="23" spans="1:18" ht="15" thickBot="1" x14ac:dyDescent="0.35">
      <c r="A23" s="29" t="s">
        <v>46</v>
      </c>
      <c r="B23" s="36">
        <v>957.96</v>
      </c>
      <c r="C23" s="37">
        <f>B23*C18</f>
        <v>670.572</v>
      </c>
      <c r="D23" s="38">
        <f>B23*D18</f>
        <v>287.38799999999998</v>
      </c>
      <c r="E23" s="21">
        <f t="shared" si="14"/>
        <v>957.96</v>
      </c>
      <c r="O23" s="29" t="s">
        <v>44</v>
      </c>
      <c r="P23" s="18">
        <f>+(+P19+P20)*0.0765</f>
        <v>3650.6106</v>
      </c>
      <c r="Q23" s="27">
        <f t="shared" si="16"/>
        <v>2555.4299999999998</v>
      </c>
      <c r="R23" s="28">
        <f t="shared" si="17"/>
        <v>1095.18</v>
      </c>
    </row>
    <row r="24" spans="1:18" ht="15" thickBot="1" x14ac:dyDescent="0.35">
      <c r="A24" s="29" t="s">
        <v>57</v>
      </c>
      <c r="B24" s="36">
        <v>10900.24</v>
      </c>
      <c r="C24" s="37">
        <v>0</v>
      </c>
      <c r="D24" s="38">
        <v>0</v>
      </c>
      <c r="E24" s="21">
        <f>B24</f>
        <v>10900.24</v>
      </c>
      <c r="G24" s="7" t="s">
        <v>58</v>
      </c>
      <c r="H24" s="8" t="s">
        <v>34</v>
      </c>
      <c r="I24" s="8" t="s">
        <v>35</v>
      </c>
      <c r="J24" s="8" t="s">
        <v>36</v>
      </c>
      <c r="K24" s="9" t="s">
        <v>37</v>
      </c>
      <c r="O24" s="29" t="s">
        <v>46</v>
      </c>
      <c r="P24" s="36">
        <v>0</v>
      </c>
      <c r="Q24" s="27">
        <f t="shared" si="16"/>
        <v>0</v>
      </c>
      <c r="R24" s="28">
        <f t="shared" si="17"/>
        <v>0</v>
      </c>
    </row>
    <row r="25" spans="1:18" ht="15" thickBot="1" x14ac:dyDescent="0.35">
      <c r="A25" s="29" t="s">
        <v>47</v>
      </c>
      <c r="B25" s="36">
        <v>4420.9399999999996</v>
      </c>
      <c r="C25" s="37">
        <f>B25*C18</f>
        <v>3094.6579999999994</v>
      </c>
      <c r="D25" s="38">
        <f>B25*D18</f>
        <v>1326.2819999999999</v>
      </c>
      <c r="E25" s="21">
        <f t="shared" si="14"/>
        <v>4420.9399999999996</v>
      </c>
      <c r="G25" s="57" t="s">
        <v>39</v>
      </c>
      <c r="H25" s="11">
        <f>SUM(H2,H14)</f>
        <v>161048.27999999997</v>
      </c>
      <c r="I25" s="12">
        <f t="shared" ref="I25:J28" si="18">SUM(I2,I14)</f>
        <v>109636.77</v>
      </c>
      <c r="J25" s="13">
        <f t="shared" si="18"/>
        <v>51411.53</v>
      </c>
      <c r="K25" s="14">
        <f t="shared" ref="K25:K33" si="19">SUM(I25:J25)</f>
        <v>161048.29999999999</v>
      </c>
      <c r="O25" s="29" t="s">
        <v>57</v>
      </c>
      <c r="P25" s="36">
        <v>10900.24</v>
      </c>
      <c r="Q25" s="27">
        <f t="shared" si="16"/>
        <v>7630.17</v>
      </c>
      <c r="R25" s="28">
        <f t="shared" si="17"/>
        <v>3270.07</v>
      </c>
    </row>
    <row r="26" spans="1:18" ht="15" thickBot="1" x14ac:dyDescent="0.35">
      <c r="A26" s="29" t="s">
        <v>48</v>
      </c>
      <c r="B26" s="61">
        <f>ROUND(B19*14.5*0.01,2)</f>
        <v>4655.88</v>
      </c>
      <c r="C26" s="62">
        <f t="shared" ref="C26:D26" si="20">ROUND(C19*14.5*0.01,2)</f>
        <v>3259.11</v>
      </c>
      <c r="D26" s="63">
        <f t="shared" si="20"/>
        <v>1396.76</v>
      </c>
      <c r="E26" s="21">
        <f t="shared" si="14"/>
        <v>4655.87</v>
      </c>
      <c r="G26" s="17" t="s">
        <v>41</v>
      </c>
      <c r="H26" s="18">
        <f>SUM(H3,H15)</f>
        <v>3746.4859999999999</v>
      </c>
      <c r="I26" s="19">
        <f t="shared" si="18"/>
        <v>2405.1099999999997</v>
      </c>
      <c r="J26" s="20">
        <f t="shared" si="18"/>
        <v>1341.3899999999999</v>
      </c>
      <c r="K26" s="21">
        <f t="shared" si="19"/>
        <v>3746.4999999999995</v>
      </c>
      <c r="O26" s="29" t="s">
        <v>47</v>
      </c>
      <c r="P26" s="36">
        <f>4420.94*1.33</f>
        <v>5879.8501999999999</v>
      </c>
      <c r="Q26" s="27">
        <f t="shared" si="16"/>
        <v>4115.8999999999996</v>
      </c>
      <c r="R26" s="28">
        <f t="shared" si="17"/>
        <v>1763.96</v>
      </c>
    </row>
    <row r="27" spans="1:18" ht="15.75" customHeight="1" thickBot="1" x14ac:dyDescent="0.35">
      <c r="A27" s="46" t="s">
        <v>51</v>
      </c>
      <c r="B27" s="47">
        <f>SUM(B20:B24)</f>
        <v>16516.66</v>
      </c>
      <c r="C27" s="48"/>
      <c r="D27" s="49"/>
      <c r="E27" s="50"/>
      <c r="G27" s="17" t="s">
        <v>42</v>
      </c>
      <c r="H27" s="18"/>
      <c r="I27" s="19">
        <f t="shared" si="18"/>
        <v>5823.6810999999998</v>
      </c>
      <c r="J27" s="20">
        <f t="shared" si="18"/>
        <v>2206.7889</v>
      </c>
      <c r="K27" s="21">
        <f t="shared" si="19"/>
        <v>8030.4699999999993</v>
      </c>
      <c r="O27" s="29" t="s">
        <v>48</v>
      </c>
      <c r="P27" s="61">
        <f>ROUND((+P19+P20)*14.5*0.01,2)</f>
        <v>6919.46</v>
      </c>
      <c r="Q27" s="27">
        <f t="shared" si="16"/>
        <v>4843.62</v>
      </c>
      <c r="R27" s="28">
        <f t="shared" si="17"/>
        <v>2075.84</v>
      </c>
    </row>
    <row r="28" spans="1:18" ht="15.75" customHeight="1" thickBot="1" x14ac:dyDescent="0.35">
      <c r="A28" s="51" t="s">
        <v>52</v>
      </c>
      <c r="B28" s="52">
        <f>B19-B27</f>
        <v>15592.830000000002</v>
      </c>
      <c r="C28" s="53"/>
      <c r="D28" s="54"/>
      <c r="E28" s="55"/>
      <c r="G28" s="17" t="s">
        <v>44</v>
      </c>
      <c r="H28" s="18"/>
      <c r="I28" s="19">
        <f t="shared" si="18"/>
        <v>7873.6500000000005</v>
      </c>
      <c r="J28" s="20">
        <f t="shared" si="18"/>
        <v>3932.98</v>
      </c>
      <c r="K28" s="21">
        <f t="shared" si="19"/>
        <v>11806.630000000001</v>
      </c>
      <c r="O28" s="46" t="s">
        <v>51</v>
      </c>
      <c r="P28" s="47">
        <f>SUM(P21:P25)</f>
        <v>15982.462599999999</v>
      </c>
      <c r="Q28" s="48"/>
      <c r="R28" s="49"/>
    </row>
    <row r="29" spans="1:18" ht="15" thickBot="1" x14ac:dyDescent="0.35">
      <c r="A29" s="39" t="s">
        <v>49</v>
      </c>
      <c r="B29" s="56">
        <f>SUM(B19+B21+B25+B26)</f>
        <v>42425.11</v>
      </c>
      <c r="C29" s="56">
        <f t="shared" ref="C29:D29" si="21">SUM(C20+C22+C25+C26)</f>
        <v>8747.5280000000002</v>
      </c>
      <c r="D29" s="56">
        <f t="shared" si="21"/>
        <v>3748.942</v>
      </c>
      <c r="E29" s="56">
        <f>SUM(E19+E21+E25+E26)</f>
        <v>42425.100000000006</v>
      </c>
      <c r="G29" s="17" t="s">
        <v>42</v>
      </c>
      <c r="H29" s="18">
        <f t="shared" ref="H29:J33" si="22">SUM(H4,H16)</f>
        <v>8031.4699999999993</v>
      </c>
      <c r="I29" s="19">
        <f t="shared" si="22"/>
        <v>5823.6810999999998</v>
      </c>
      <c r="J29" s="20">
        <f t="shared" si="22"/>
        <v>2206.7889</v>
      </c>
      <c r="K29" s="21">
        <f t="shared" si="19"/>
        <v>8030.4699999999993</v>
      </c>
      <c r="O29" s="51" t="s">
        <v>52</v>
      </c>
      <c r="P29" s="52">
        <f>P19-P28</f>
        <v>25513.537400000001</v>
      </c>
      <c r="Q29" s="53"/>
      <c r="R29" s="54"/>
    </row>
    <row r="30" spans="1:18" ht="15" thickBot="1" x14ac:dyDescent="0.35">
      <c r="A30" s="39" t="s">
        <v>53</v>
      </c>
      <c r="B30" s="47">
        <f>B29/1620</f>
        <v>26.188339506172841</v>
      </c>
      <c r="C30" s="58"/>
      <c r="D30" s="58"/>
      <c r="E30" s="58"/>
      <c r="G30" s="17" t="s">
        <v>44</v>
      </c>
      <c r="H30" s="18">
        <f t="shared" si="22"/>
        <v>11806.65</v>
      </c>
      <c r="I30" s="19">
        <f t="shared" si="22"/>
        <v>7873.6500000000005</v>
      </c>
      <c r="J30" s="20">
        <f t="shared" si="22"/>
        <v>3932.98</v>
      </c>
      <c r="K30" s="21">
        <f t="shared" si="19"/>
        <v>11806.630000000001</v>
      </c>
      <c r="O30" s="39" t="s">
        <v>49</v>
      </c>
      <c r="P30" s="56">
        <f>SUM(P19+P22+P26+P27)</f>
        <v>55726.922200000001</v>
      </c>
      <c r="Q30" s="56">
        <f t="shared" ref="Q30:R30" si="23">SUM(Q21+Q23+Q26+Q27)</f>
        <v>11514.95</v>
      </c>
      <c r="R30" s="56">
        <f t="shared" si="23"/>
        <v>4934.9800000000005</v>
      </c>
    </row>
    <row r="31" spans="1:18" ht="15" thickBot="1" x14ac:dyDescent="0.35">
      <c r="A31" s="59"/>
      <c r="B31" s="60"/>
      <c r="C31" s="60"/>
      <c r="D31" s="60"/>
      <c r="G31" s="17" t="s">
        <v>46</v>
      </c>
      <c r="H31" s="18">
        <f t="shared" si="22"/>
        <v>16185.47</v>
      </c>
      <c r="I31" s="19">
        <f t="shared" si="22"/>
        <v>11694.024000000001</v>
      </c>
      <c r="J31" s="20">
        <f t="shared" si="22"/>
        <v>4491.4459999999999</v>
      </c>
      <c r="K31" s="21">
        <f t="shared" si="19"/>
        <v>16185.470000000001</v>
      </c>
      <c r="O31" s="39" t="s">
        <v>53</v>
      </c>
      <c r="P31" s="138">
        <f>P30/2080</f>
        <v>26.791789519230768</v>
      </c>
      <c r="Q31" s="58"/>
      <c r="R31" s="58"/>
    </row>
    <row r="32" spans="1:18" ht="15" thickBot="1" x14ac:dyDescent="0.35">
      <c r="A32" s="710" t="s">
        <v>59</v>
      </c>
      <c r="B32" s="708" t="s">
        <v>34</v>
      </c>
      <c r="C32" s="15" t="s">
        <v>35</v>
      </c>
      <c r="D32" s="16" t="s">
        <v>36</v>
      </c>
      <c r="E32" s="8" t="s">
        <v>37</v>
      </c>
      <c r="G32" s="17" t="s">
        <v>47</v>
      </c>
      <c r="H32" s="18">
        <f t="shared" si="22"/>
        <v>51968.72</v>
      </c>
      <c r="I32" s="19">
        <f t="shared" si="22"/>
        <v>32102.376199999999</v>
      </c>
      <c r="J32" s="20">
        <f t="shared" si="22"/>
        <v>19866.343799999999</v>
      </c>
      <c r="K32" s="21">
        <f t="shared" si="19"/>
        <v>51968.72</v>
      </c>
      <c r="O32" s="59"/>
      <c r="P32" s="60"/>
      <c r="Q32" s="60"/>
      <c r="R32" s="60"/>
    </row>
    <row r="33" spans="1:18" ht="15" thickBot="1" x14ac:dyDescent="0.35">
      <c r="A33" s="711"/>
      <c r="B33" s="709"/>
      <c r="C33" s="22">
        <v>0.55000000000000004</v>
      </c>
      <c r="D33" s="23">
        <v>0.45</v>
      </c>
      <c r="E33" s="24"/>
      <c r="G33" s="31" t="s">
        <v>48</v>
      </c>
      <c r="H33" s="32">
        <f t="shared" si="22"/>
        <v>13384.82</v>
      </c>
      <c r="I33" s="33">
        <f t="shared" si="22"/>
        <v>9649.7000000000007</v>
      </c>
      <c r="J33" s="34">
        <f t="shared" si="22"/>
        <v>3735.1400000000003</v>
      </c>
      <c r="K33" s="35">
        <f t="shared" si="19"/>
        <v>13384.84</v>
      </c>
      <c r="O33" s="710" t="s">
        <v>59</v>
      </c>
      <c r="P33" s="708" t="s">
        <v>34</v>
      </c>
      <c r="Q33" s="15" t="s">
        <v>35</v>
      </c>
      <c r="R33" s="16" t="s">
        <v>36</v>
      </c>
    </row>
    <row r="34" spans="1:18" ht="15" thickBot="1" x14ac:dyDescent="0.35">
      <c r="A34" s="25" t="s">
        <v>60</v>
      </c>
      <c r="B34" s="26">
        <v>13003.09</v>
      </c>
      <c r="C34" s="27">
        <f>ROUND(B34*C33,2)</f>
        <v>7151.7</v>
      </c>
      <c r="D34" s="28">
        <f>ROUND(B34*D33,2)</f>
        <v>5851.39</v>
      </c>
      <c r="E34" s="14">
        <f>C34+D34</f>
        <v>13003.09</v>
      </c>
      <c r="G34" s="39" t="s">
        <v>49</v>
      </c>
      <c r="H34" s="40">
        <f>SUM(H25+H29+H32+H33)</f>
        <v>234433.28999999998</v>
      </c>
      <c r="I34" s="40">
        <f>SUM(I25+I29+I32+I33)</f>
        <v>157212.52730000002</v>
      </c>
      <c r="J34" s="40">
        <f>SUM(J25+J29+J32+J33)</f>
        <v>77219.8027</v>
      </c>
      <c r="K34" s="40">
        <f>SUM(K25+K29+K32+K33)</f>
        <v>234432.33</v>
      </c>
      <c r="O34" s="711"/>
      <c r="P34" s="709"/>
      <c r="Q34" s="22">
        <v>0.55000000000000004</v>
      </c>
      <c r="R34" s="23">
        <v>0.45</v>
      </c>
    </row>
    <row r="35" spans="1:18" ht="15" thickBot="1" x14ac:dyDescent="0.35">
      <c r="A35" s="29" t="s">
        <v>41</v>
      </c>
      <c r="B35" s="18">
        <f>ROUND(B34*H37,2)</f>
        <v>390.09</v>
      </c>
      <c r="C35" s="19">
        <f>ROUND(C34*H37,2)</f>
        <v>214.55</v>
      </c>
      <c r="D35" s="20">
        <f>ROUND(D34*H37,2)</f>
        <v>175.54</v>
      </c>
      <c r="E35" s="21">
        <f t="shared" ref="E35:E40" si="24">SUM(C35:D35)</f>
        <v>390.09000000000003</v>
      </c>
      <c r="G35" s="60"/>
      <c r="H35" s="60"/>
      <c r="I35" s="60"/>
      <c r="J35" s="60"/>
      <c r="O35" s="25" t="s">
        <v>61</v>
      </c>
      <c r="P35" s="139">
        <f>14.5*2080</f>
        <v>30160</v>
      </c>
      <c r="Q35" s="27">
        <f>ROUND(P35*$Q$34,2)</f>
        <v>16588</v>
      </c>
      <c r="R35" s="28">
        <f>ROUND(P35*$R$34,2)</f>
        <v>13572</v>
      </c>
    </row>
    <row r="36" spans="1:18" ht="15" thickBot="1" x14ac:dyDescent="0.35">
      <c r="A36" s="29" t="s">
        <v>42</v>
      </c>
      <c r="B36" s="18">
        <v>728.65</v>
      </c>
      <c r="C36" s="19">
        <f>B36*C33</f>
        <v>400.75749999999999</v>
      </c>
      <c r="D36" s="20">
        <f>B36*D33</f>
        <v>327.89249999999998</v>
      </c>
      <c r="E36" s="21">
        <f t="shared" si="24"/>
        <v>728.65</v>
      </c>
      <c r="G36" s="60"/>
      <c r="H36" s="60"/>
      <c r="I36" s="60"/>
      <c r="J36" s="60"/>
      <c r="O36" s="78" t="s">
        <v>56</v>
      </c>
      <c r="P36" s="26">
        <f>+P35*0.02*1.5</f>
        <v>904.80000000000007</v>
      </c>
      <c r="Q36" s="27">
        <f t="shared" ref="Q36:Q42" si="25">ROUND(P36*$Q$34,2)</f>
        <v>497.64</v>
      </c>
      <c r="R36" s="28">
        <f t="shared" ref="R36:R42" si="26">ROUND(P36*$R$34,2)</f>
        <v>407.16</v>
      </c>
    </row>
    <row r="37" spans="1:18" ht="15" thickBot="1" x14ac:dyDescent="0.35">
      <c r="A37" s="29" t="s">
        <v>44</v>
      </c>
      <c r="B37" s="36">
        <f>ROUND(B34*H38,2)</f>
        <v>994.74</v>
      </c>
      <c r="C37" s="37">
        <f>ROUND(C34*H38,2)</f>
        <v>547.11</v>
      </c>
      <c r="D37" s="38">
        <f>ROUND(D34*H38,2)</f>
        <v>447.63</v>
      </c>
      <c r="E37" s="21">
        <f t="shared" si="24"/>
        <v>994.74</v>
      </c>
      <c r="G37" s="64" t="s">
        <v>41</v>
      </c>
      <c r="H37" s="65">
        <v>0.03</v>
      </c>
      <c r="I37" s="60"/>
      <c r="J37" s="60"/>
      <c r="O37" s="29" t="s">
        <v>41</v>
      </c>
      <c r="P37" s="18">
        <f>ROUND(P35*V37,2)</f>
        <v>0</v>
      </c>
      <c r="Q37" s="27">
        <f t="shared" si="25"/>
        <v>0</v>
      </c>
      <c r="R37" s="28">
        <f t="shared" si="26"/>
        <v>0</v>
      </c>
    </row>
    <row r="38" spans="1:18" ht="15" thickBot="1" x14ac:dyDescent="0.35">
      <c r="A38" s="29" t="s">
        <v>46</v>
      </c>
      <c r="B38" s="36">
        <v>709.36</v>
      </c>
      <c r="C38" s="37">
        <f>B38*C33</f>
        <v>390.14800000000002</v>
      </c>
      <c r="D38" s="38">
        <f>B38*D33</f>
        <v>319.21199999999999</v>
      </c>
      <c r="E38" s="21">
        <f t="shared" si="24"/>
        <v>709.36</v>
      </c>
      <c r="G38" s="64" t="s">
        <v>44</v>
      </c>
      <c r="H38" s="65">
        <v>7.6499999999999999E-2</v>
      </c>
      <c r="I38" s="60"/>
      <c r="J38" s="60"/>
      <c r="O38" s="29" t="s">
        <v>42</v>
      </c>
      <c r="P38" s="18">
        <f>(+P35+P36)*0.03</f>
        <v>931.94399999999996</v>
      </c>
      <c r="Q38" s="27">
        <f t="shared" si="25"/>
        <v>512.57000000000005</v>
      </c>
      <c r="R38" s="28">
        <f t="shared" si="26"/>
        <v>419.37</v>
      </c>
    </row>
    <row r="39" spans="1:18" ht="15" thickBot="1" x14ac:dyDescent="0.35">
      <c r="A39" s="29" t="s">
        <v>47</v>
      </c>
      <c r="B39" s="36">
        <v>4802.57</v>
      </c>
      <c r="C39" s="37">
        <f>B39*C33</f>
        <v>2641.4135000000001</v>
      </c>
      <c r="D39" s="38">
        <f>B39*D33</f>
        <v>2161.1565000000001</v>
      </c>
      <c r="E39" s="21">
        <f t="shared" si="24"/>
        <v>4802.57</v>
      </c>
      <c r="I39" s="60"/>
      <c r="J39" s="60"/>
      <c r="O39" s="29" t="s">
        <v>44</v>
      </c>
      <c r="P39" s="18">
        <f>+(+P35+P36)*0.0765</f>
        <v>2376.4571999999998</v>
      </c>
      <c r="Q39" s="27">
        <f t="shared" si="25"/>
        <v>1307.05</v>
      </c>
      <c r="R39" s="28">
        <f t="shared" si="26"/>
        <v>1069.4100000000001</v>
      </c>
    </row>
    <row r="40" spans="1:18" ht="15" thickBot="1" x14ac:dyDescent="0.35">
      <c r="A40" s="29" t="s">
        <v>48</v>
      </c>
      <c r="B40" s="61">
        <f>ROUND(B34*2.25*0.01,2)</f>
        <v>292.57</v>
      </c>
      <c r="C40" s="62">
        <f t="shared" ref="C40:D40" si="27">ROUND(C34*2.25*0.01,2)</f>
        <v>160.91</v>
      </c>
      <c r="D40" s="63">
        <f t="shared" si="27"/>
        <v>131.66</v>
      </c>
      <c r="E40" s="21">
        <f t="shared" si="24"/>
        <v>292.57</v>
      </c>
      <c r="G40" s="64" t="s">
        <v>62</v>
      </c>
      <c r="H40" s="60">
        <v>42.19</v>
      </c>
      <c r="I40" s="60" t="s">
        <v>63</v>
      </c>
      <c r="J40" s="60"/>
      <c r="O40" s="29" t="s">
        <v>46</v>
      </c>
      <c r="P40" s="36">
        <v>0</v>
      </c>
      <c r="Q40" s="27">
        <f t="shared" si="25"/>
        <v>0</v>
      </c>
      <c r="R40" s="28">
        <f t="shared" si="26"/>
        <v>0</v>
      </c>
    </row>
    <row r="41" spans="1:18" ht="15.75" customHeight="1" thickBot="1" x14ac:dyDescent="0.35">
      <c r="A41" s="46" t="s">
        <v>51</v>
      </c>
      <c r="B41" s="47">
        <f>SUM(B35:B38)</f>
        <v>2822.84</v>
      </c>
      <c r="C41" s="48"/>
      <c r="D41" s="49"/>
      <c r="E41" s="50"/>
      <c r="G41" s="64" t="s">
        <v>64</v>
      </c>
      <c r="H41" s="60">
        <v>1525.23</v>
      </c>
      <c r="I41" s="60" t="s">
        <v>40</v>
      </c>
      <c r="J41" s="60"/>
      <c r="O41" s="29" t="s">
        <v>47</v>
      </c>
      <c r="P41" s="36">
        <f>4802.57*1.33</f>
        <v>6387.4180999999999</v>
      </c>
      <c r="Q41" s="27">
        <f t="shared" si="25"/>
        <v>3513.08</v>
      </c>
      <c r="R41" s="28">
        <f t="shared" si="26"/>
        <v>2874.34</v>
      </c>
    </row>
    <row r="42" spans="1:18" ht="15.75" customHeight="1" thickBot="1" x14ac:dyDescent="0.35">
      <c r="A42" s="51" t="s">
        <v>52</v>
      </c>
      <c r="B42" s="52">
        <f>B34-B41</f>
        <v>10180.25</v>
      </c>
      <c r="C42" s="53"/>
      <c r="D42" s="54"/>
      <c r="E42" s="55"/>
      <c r="G42" s="60"/>
      <c r="H42" s="60"/>
      <c r="I42" s="60"/>
      <c r="J42" s="60"/>
      <c r="O42" s="29" t="s">
        <v>48</v>
      </c>
      <c r="P42" s="61">
        <f>ROUND(P35*2.25*0.01,2)</f>
        <v>678.6</v>
      </c>
      <c r="Q42" s="27">
        <f t="shared" si="25"/>
        <v>373.23</v>
      </c>
      <c r="R42" s="28">
        <f t="shared" si="26"/>
        <v>305.37</v>
      </c>
    </row>
    <row r="43" spans="1:18" ht="15" thickBot="1" x14ac:dyDescent="0.35">
      <c r="A43" s="39" t="s">
        <v>49</v>
      </c>
      <c r="B43" s="56">
        <f>SUM(B34+B36+B39+B40)</f>
        <v>18826.879999999997</v>
      </c>
      <c r="C43" s="56">
        <f t="shared" ref="C43:E43" si="28">SUM(C34+C36+C39+C40)</f>
        <v>10354.780999999999</v>
      </c>
      <c r="D43" s="56">
        <f t="shared" si="28"/>
        <v>8472.0990000000002</v>
      </c>
      <c r="E43" s="56">
        <f t="shared" si="28"/>
        <v>18826.879999999997</v>
      </c>
      <c r="F43" s="60"/>
      <c r="G43" s="64" t="s">
        <v>65</v>
      </c>
      <c r="H43" s="60">
        <v>726.84</v>
      </c>
      <c r="I43" s="60" t="s">
        <v>40</v>
      </c>
      <c r="J43" s="60"/>
      <c r="O43" s="46" t="s">
        <v>51</v>
      </c>
      <c r="P43" s="47">
        <f>SUM(P37:P40)</f>
        <v>3308.4011999999998</v>
      </c>
      <c r="Q43" s="48"/>
      <c r="R43" s="49"/>
    </row>
    <row r="44" spans="1:18" ht="15" thickBot="1" x14ac:dyDescent="0.35">
      <c r="A44" s="39" t="s">
        <v>53</v>
      </c>
      <c r="B44" s="47">
        <f>B43/1079</f>
        <v>17.448452270620944</v>
      </c>
      <c r="C44" s="58"/>
      <c r="D44" s="58"/>
      <c r="E44" s="58"/>
      <c r="F44" s="60"/>
      <c r="G44" s="60"/>
      <c r="H44" s="66">
        <v>494.86</v>
      </c>
      <c r="I44" s="724" t="s">
        <v>54</v>
      </c>
      <c r="J44" s="724"/>
      <c r="O44" s="51" t="s">
        <v>52</v>
      </c>
      <c r="P44" s="52">
        <f>P35-P43</f>
        <v>26851.5988</v>
      </c>
      <c r="Q44" s="53"/>
      <c r="R44" s="54"/>
    </row>
    <row r="45" spans="1:18" ht="15" thickBot="1" x14ac:dyDescent="0.35">
      <c r="A45" s="59"/>
      <c r="B45" s="60"/>
      <c r="C45" s="60"/>
      <c r="D45" s="60"/>
      <c r="F45" s="5"/>
      <c r="G45" s="60"/>
      <c r="H45" s="66">
        <v>726.84</v>
      </c>
      <c r="I45" s="60" t="s">
        <v>66</v>
      </c>
      <c r="J45" s="60"/>
      <c r="O45" s="39" t="s">
        <v>49</v>
      </c>
      <c r="P45" s="56">
        <f>SUM(P35+P38+P41+P42)</f>
        <v>38157.962099999997</v>
      </c>
      <c r="Q45" s="56">
        <f>SUM(Q35+Q38+Q41+Q42)</f>
        <v>20986.880000000001</v>
      </c>
      <c r="R45" s="56">
        <f>SUM(R35+R38+R41+R42)</f>
        <v>17171.079999999998</v>
      </c>
    </row>
    <row r="46" spans="1:18" ht="15" thickBot="1" x14ac:dyDescent="0.35">
      <c r="A46" s="706" t="s">
        <v>67</v>
      </c>
      <c r="B46" s="708" t="s">
        <v>34</v>
      </c>
      <c r="C46" s="15" t="s">
        <v>35</v>
      </c>
      <c r="D46" s="16" t="s">
        <v>36</v>
      </c>
      <c r="E46" s="8" t="s">
        <v>37</v>
      </c>
      <c r="F46" s="60"/>
      <c r="G46" s="60"/>
      <c r="H46" s="60">
        <v>1525.23</v>
      </c>
      <c r="I46" s="678" t="s">
        <v>68</v>
      </c>
      <c r="J46" s="60"/>
      <c r="O46" s="39" t="s">
        <v>53</v>
      </c>
      <c r="P46" s="138">
        <f>P45/2080</f>
        <v>18.34517408653846</v>
      </c>
      <c r="Q46" s="58"/>
      <c r="R46" s="58"/>
    </row>
    <row r="47" spans="1:18" ht="15" thickBot="1" x14ac:dyDescent="0.35">
      <c r="A47" s="707"/>
      <c r="B47" s="709"/>
      <c r="C47" s="22">
        <v>0.73</v>
      </c>
      <c r="D47" s="23">
        <v>0.27</v>
      </c>
      <c r="E47" s="24"/>
      <c r="F47" s="60"/>
      <c r="G47" s="60"/>
      <c r="H47" s="60">
        <v>1625.35</v>
      </c>
      <c r="I47" s="60" t="s">
        <v>69</v>
      </c>
      <c r="J47" s="60"/>
      <c r="O47" s="59"/>
      <c r="P47" s="60"/>
      <c r="Q47" s="60"/>
      <c r="R47" s="60"/>
    </row>
    <row r="48" spans="1:18" x14ac:dyDescent="0.3">
      <c r="A48" s="25" t="s">
        <v>70</v>
      </c>
      <c r="B48" s="26">
        <v>13566.92</v>
      </c>
      <c r="C48" s="27">
        <f>ROUND(B48*C47,2)</f>
        <v>9903.85</v>
      </c>
      <c r="D48" s="28">
        <f>ROUND(B48*D47,2)</f>
        <v>3663.07</v>
      </c>
      <c r="E48" s="14">
        <f>C48+D48</f>
        <v>13566.92</v>
      </c>
      <c r="F48" s="60"/>
      <c r="J48" s="60"/>
      <c r="O48" s="706" t="s">
        <v>67</v>
      </c>
      <c r="P48" s="708" t="s">
        <v>34</v>
      </c>
      <c r="Q48" s="15" t="s">
        <v>35</v>
      </c>
      <c r="R48" s="16" t="s">
        <v>36</v>
      </c>
    </row>
    <row r="49" spans="1:18" ht="15" thickBot="1" x14ac:dyDescent="0.35">
      <c r="A49" s="29" t="s">
        <v>41</v>
      </c>
      <c r="B49" s="18">
        <f>ROUND(B48*H37,2)</f>
        <v>407.01</v>
      </c>
      <c r="C49" s="19">
        <f>ROUND(C48*H37,2)</f>
        <v>297.12</v>
      </c>
      <c r="D49" s="20">
        <f>ROUND(D48*H37,2)</f>
        <v>109.89</v>
      </c>
      <c r="E49" s="21">
        <f t="shared" ref="E49:E54" si="29">SUM(C49:D49)</f>
        <v>407.01</v>
      </c>
      <c r="F49" s="60"/>
      <c r="J49" s="60"/>
      <c r="O49" s="707"/>
      <c r="P49" s="709"/>
      <c r="Q49" s="22">
        <v>0.73</v>
      </c>
      <c r="R49" s="23">
        <v>0.27</v>
      </c>
    </row>
    <row r="50" spans="1:18" ht="15" thickBot="1" x14ac:dyDescent="0.35">
      <c r="A50" s="29" t="s">
        <v>42</v>
      </c>
      <c r="B50" s="18">
        <v>871.2</v>
      </c>
      <c r="C50" s="19">
        <f>B50*C47</f>
        <v>635.976</v>
      </c>
      <c r="D50" s="20">
        <f>B50*D47</f>
        <v>235.22400000000002</v>
      </c>
      <c r="E50" s="21">
        <f t="shared" si="29"/>
        <v>871.2</v>
      </c>
      <c r="F50" s="60"/>
      <c r="J50" s="60"/>
      <c r="O50" s="25" t="s">
        <v>71</v>
      </c>
      <c r="P50" s="139">
        <f>14.5*2080</f>
        <v>30160</v>
      </c>
      <c r="Q50" s="27">
        <f>ROUND(P50*$Q$49,2)</f>
        <v>22016.799999999999</v>
      </c>
      <c r="R50" s="28">
        <f>ROUND(P50*$R$49,2)</f>
        <v>8143.2</v>
      </c>
    </row>
    <row r="51" spans="1:18" ht="15" thickBot="1" x14ac:dyDescent="0.35">
      <c r="A51" s="29" t="s">
        <v>44</v>
      </c>
      <c r="B51" s="36">
        <f>ROUND(B48*H38,2)</f>
        <v>1037.8699999999999</v>
      </c>
      <c r="C51" s="37">
        <f>ROUND(C48*H38,2)</f>
        <v>757.64</v>
      </c>
      <c r="D51" s="38">
        <f>ROUND(D48*H38,2)</f>
        <v>280.22000000000003</v>
      </c>
      <c r="E51" s="21">
        <f t="shared" si="29"/>
        <v>1037.8600000000001</v>
      </c>
      <c r="F51" s="60"/>
      <c r="J51" s="60"/>
      <c r="O51" s="78" t="s">
        <v>56</v>
      </c>
      <c r="P51" s="26">
        <f>+P50*0.1*1.5</f>
        <v>4524</v>
      </c>
      <c r="Q51" s="27">
        <f t="shared" ref="Q51:Q57" si="30">ROUND(P51*$Q$49,2)</f>
        <v>3302.52</v>
      </c>
      <c r="R51" s="28">
        <f t="shared" ref="R51:R57" si="31">ROUND(P51*$R$49,2)</f>
        <v>1221.48</v>
      </c>
    </row>
    <row r="52" spans="1:18" ht="15" thickBot="1" x14ac:dyDescent="0.35">
      <c r="A52" s="29" t="s">
        <v>46</v>
      </c>
      <c r="B52" s="36">
        <v>741.93</v>
      </c>
      <c r="C52" s="37">
        <f>B52*C47</f>
        <v>541.60889999999995</v>
      </c>
      <c r="D52" s="38">
        <f>B52*D47</f>
        <v>200.3211</v>
      </c>
      <c r="E52" s="21">
        <f t="shared" si="29"/>
        <v>741.93</v>
      </c>
      <c r="F52" s="60"/>
      <c r="G52" s="60"/>
      <c r="H52" s="60"/>
      <c r="I52" s="60"/>
      <c r="J52" s="60"/>
      <c r="O52" s="29" t="s">
        <v>41</v>
      </c>
      <c r="P52" s="18">
        <f>ROUND(P50*V37,2)</f>
        <v>0</v>
      </c>
      <c r="Q52" s="27">
        <f t="shared" si="30"/>
        <v>0</v>
      </c>
      <c r="R52" s="28">
        <f t="shared" si="31"/>
        <v>0</v>
      </c>
    </row>
    <row r="53" spans="1:18" ht="15" thickBot="1" x14ac:dyDescent="0.35">
      <c r="A53" s="29" t="s">
        <v>47</v>
      </c>
      <c r="B53" s="36">
        <v>8879.8700000000008</v>
      </c>
      <c r="C53" s="37">
        <f>B53*C47</f>
        <v>6482.3051000000005</v>
      </c>
      <c r="D53" s="38">
        <f>B53*D47</f>
        <v>2397.5649000000003</v>
      </c>
      <c r="E53" s="21">
        <f t="shared" si="29"/>
        <v>8879.8700000000008</v>
      </c>
      <c r="F53" s="60"/>
      <c r="G53" s="60"/>
      <c r="H53" s="60"/>
      <c r="I53" s="60"/>
      <c r="J53" s="60"/>
      <c r="O53" s="29" t="s">
        <v>42</v>
      </c>
      <c r="P53" s="18">
        <f>(+P50+P51)*0.03</f>
        <v>1040.52</v>
      </c>
      <c r="Q53" s="27">
        <f t="shared" si="30"/>
        <v>759.58</v>
      </c>
      <c r="R53" s="28">
        <f t="shared" si="31"/>
        <v>280.94</v>
      </c>
    </row>
    <row r="54" spans="1:18" ht="15" thickBot="1" x14ac:dyDescent="0.35">
      <c r="A54" s="29" t="s">
        <v>48</v>
      </c>
      <c r="B54" s="61">
        <f>ROUND(B48*14.5*0.01,2)</f>
        <v>1967.2</v>
      </c>
      <c r="C54" s="62">
        <f t="shared" ref="C54:D54" si="32">ROUND(C48*14.5*0.01,2)</f>
        <v>1436.06</v>
      </c>
      <c r="D54" s="63">
        <f t="shared" si="32"/>
        <v>531.15</v>
      </c>
      <c r="E54" s="21">
        <f t="shared" si="29"/>
        <v>1967.21</v>
      </c>
      <c r="F54" s="60"/>
      <c r="G54" s="60"/>
      <c r="H54" s="60"/>
      <c r="I54" s="60"/>
      <c r="J54" s="60"/>
      <c r="O54" s="29" t="s">
        <v>44</v>
      </c>
      <c r="P54" s="18">
        <f>+(+P50+P51)*0.0765</f>
        <v>2653.326</v>
      </c>
      <c r="Q54" s="27">
        <f t="shared" si="30"/>
        <v>1936.93</v>
      </c>
      <c r="R54" s="28">
        <f t="shared" si="31"/>
        <v>716.4</v>
      </c>
    </row>
    <row r="55" spans="1:18" ht="15.75" customHeight="1" thickBot="1" x14ac:dyDescent="0.35">
      <c r="A55" s="46" t="s">
        <v>51</v>
      </c>
      <c r="B55" s="47">
        <f>SUM(B49:B52)</f>
        <v>3058.0099999999998</v>
      </c>
      <c r="C55" s="48"/>
      <c r="D55" s="49"/>
      <c r="E55" s="50"/>
      <c r="F55" s="60"/>
      <c r="G55" s="60"/>
      <c r="H55" s="60"/>
      <c r="I55" s="60"/>
      <c r="J55" s="60"/>
      <c r="O55" s="29" t="s">
        <v>46</v>
      </c>
      <c r="P55" s="36">
        <v>0</v>
      </c>
      <c r="Q55" s="27">
        <f t="shared" si="30"/>
        <v>0</v>
      </c>
      <c r="R55" s="28">
        <f t="shared" si="31"/>
        <v>0</v>
      </c>
    </row>
    <row r="56" spans="1:18" ht="15.75" customHeight="1" thickBot="1" x14ac:dyDescent="0.35">
      <c r="A56" s="51" t="s">
        <v>52</v>
      </c>
      <c r="B56" s="52">
        <f>B48-B55</f>
        <v>10508.91</v>
      </c>
      <c r="C56" s="53"/>
      <c r="D56" s="54"/>
      <c r="E56" s="55"/>
      <c r="F56" s="60"/>
      <c r="G56" s="60"/>
      <c r="H56" s="60"/>
      <c r="I56" s="60"/>
      <c r="J56" s="60"/>
      <c r="O56" s="29" t="s">
        <v>47</v>
      </c>
      <c r="P56" s="36">
        <f>8879.87*1.33</f>
        <v>11810.227100000002</v>
      </c>
      <c r="Q56" s="27">
        <f t="shared" si="30"/>
        <v>8621.4699999999993</v>
      </c>
      <c r="R56" s="28">
        <f t="shared" si="31"/>
        <v>3188.76</v>
      </c>
    </row>
    <row r="57" spans="1:18" ht="15" thickBot="1" x14ac:dyDescent="0.35">
      <c r="A57" s="39" t="s">
        <v>49</v>
      </c>
      <c r="B57" s="56">
        <f>SUM(B48+B50+B53+B54)</f>
        <v>25285.190000000002</v>
      </c>
      <c r="C57" s="56">
        <f t="shared" ref="C57:E57" si="33">SUM(C48+C50+C53+C54)</f>
        <v>18458.191100000004</v>
      </c>
      <c r="D57" s="56">
        <f t="shared" si="33"/>
        <v>6827.0089000000007</v>
      </c>
      <c r="E57" s="56">
        <f t="shared" si="33"/>
        <v>25285.200000000001</v>
      </c>
      <c r="G57" s="60"/>
      <c r="H57" s="60"/>
      <c r="I57" s="60"/>
      <c r="J57" s="60"/>
      <c r="O57" s="29" t="s">
        <v>48</v>
      </c>
      <c r="P57" s="61">
        <f>ROUND(P50*14.5*0.01,2)</f>
        <v>4373.2</v>
      </c>
      <c r="Q57" s="27">
        <f t="shared" si="30"/>
        <v>3192.44</v>
      </c>
      <c r="R57" s="28">
        <f t="shared" si="31"/>
        <v>1180.76</v>
      </c>
    </row>
    <row r="58" spans="1:18" ht="15" thickBot="1" x14ac:dyDescent="0.35">
      <c r="A58" s="39" t="s">
        <v>53</v>
      </c>
      <c r="B58" s="47">
        <f>B57/978</f>
        <v>25.853977505112478</v>
      </c>
      <c r="C58" s="58"/>
      <c r="D58" s="58"/>
      <c r="E58" s="58"/>
      <c r="G58" s="60"/>
      <c r="H58" s="60"/>
      <c r="I58" s="60"/>
      <c r="J58" s="60"/>
      <c r="O58" s="46" t="s">
        <v>51</v>
      </c>
      <c r="P58" s="47">
        <f>SUM(P52:P55)</f>
        <v>3693.846</v>
      </c>
      <c r="Q58" s="48"/>
      <c r="R58" s="49"/>
    </row>
    <row r="59" spans="1:18" ht="15" thickBot="1" x14ac:dyDescent="0.35">
      <c r="A59" s="59"/>
      <c r="B59" s="60"/>
      <c r="C59" s="60"/>
      <c r="D59" s="60"/>
      <c r="G59" s="60"/>
      <c r="H59" s="60"/>
      <c r="I59" s="60"/>
      <c r="J59" s="60"/>
      <c r="O59" s="51" t="s">
        <v>52</v>
      </c>
      <c r="P59" s="52">
        <f>P50-P58</f>
        <v>26466.153999999999</v>
      </c>
      <c r="Q59" s="53"/>
      <c r="R59" s="54"/>
    </row>
    <row r="60" spans="1:18" ht="15" thickBot="1" x14ac:dyDescent="0.35">
      <c r="A60" s="710" t="s">
        <v>69</v>
      </c>
      <c r="B60" s="708" t="s">
        <v>34</v>
      </c>
      <c r="C60" s="15" t="s">
        <v>35</v>
      </c>
      <c r="D60" s="16" t="s">
        <v>36</v>
      </c>
      <c r="E60" s="8" t="s">
        <v>37</v>
      </c>
      <c r="J60" s="60"/>
      <c r="O60" s="39" t="s">
        <v>49</v>
      </c>
      <c r="P60" s="56">
        <f>SUM(P50+P53+P56+P57)</f>
        <v>47383.947099999998</v>
      </c>
      <c r="Q60" s="56">
        <f>SUM(Q50+Q53+Q56+Q57)</f>
        <v>34590.29</v>
      </c>
      <c r="R60" s="56">
        <f>SUM(R50+R53+R56+R57)</f>
        <v>12793.66</v>
      </c>
    </row>
    <row r="61" spans="1:18" ht="15" thickBot="1" x14ac:dyDescent="0.35">
      <c r="A61" s="711"/>
      <c r="B61" s="709"/>
      <c r="C61" s="22"/>
      <c r="D61" s="23"/>
      <c r="E61" s="24"/>
      <c r="J61" s="60"/>
      <c r="O61" s="39" t="s">
        <v>53</v>
      </c>
      <c r="P61" s="138">
        <f>P60/2080</f>
        <v>22.780743798076923</v>
      </c>
      <c r="Q61" s="58"/>
      <c r="R61" s="58"/>
    </row>
    <row r="62" spans="1:18" ht="15" thickBot="1" x14ac:dyDescent="0.35">
      <c r="A62" s="25" t="s">
        <v>72</v>
      </c>
      <c r="B62" s="26">
        <v>18966.18</v>
      </c>
      <c r="C62" s="27">
        <v>6713.3</v>
      </c>
      <c r="D62" s="28">
        <v>12252.88</v>
      </c>
      <c r="E62" s="14">
        <f>C62+D62</f>
        <v>18966.18</v>
      </c>
      <c r="J62" s="60"/>
      <c r="O62" s="59"/>
      <c r="P62" s="60"/>
      <c r="Q62" s="60"/>
      <c r="R62" s="60"/>
    </row>
    <row r="63" spans="1:18" x14ac:dyDescent="0.3">
      <c r="A63" s="29" t="s">
        <v>41</v>
      </c>
      <c r="B63" s="18">
        <f>ROUND(D62*H37,2)</f>
        <v>367.59</v>
      </c>
      <c r="C63" s="19">
        <v>0</v>
      </c>
      <c r="D63" s="20">
        <f>ROUND(D62*H37,2)</f>
        <v>367.59</v>
      </c>
      <c r="E63" s="21">
        <f t="shared" ref="E63:E68" si="34">SUM(C63:D63)</f>
        <v>367.59</v>
      </c>
      <c r="O63" s="710" t="s">
        <v>69</v>
      </c>
      <c r="P63" s="708" t="s">
        <v>34</v>
      </c>
      <c r="Q63" s="15" t="s">
        <v>35</v>
      </c>
      <c r="R63" s="16" t="s">
        <v>36</v>
      </c>
    </row>
    <row r="64" spans="1:18" ht="15" thickBot="1" x14ac:dyDescent="0.35">
      <c r="A64" s="29" t="s">
        <v>42</v>
      </c>
      <c r="B64" s="18">
        <v>328.7</v>
      </c>
      <c r="C64" s="19">
        <f>B64*C61</f>
        <v>0</v>
      </c>
      <c r="D64" s="20">
        <f>B64</f>
        <v>328.7</v>
      </c>
      <c r="E64" s="21">
        <f t="shared" ref="E64" si="35">SUM(C64:D64)</f>
        <v>328.7</v>
      </c>
      <c r="O64" s="711"/>
      <c r="P64" s="709"/>
      <c r="Q64" s="22">
        <v>0.5</v>
      </c>
      <c r="R64" s="23">
        <v>0.5</v>
      </c>
    </row>
    <row r="65" spans="1:18" ht="15" thickBot="1" x14ac:dyDescent="0.35">
      <c r="A65" s="29" t="s">
        <v>44</v>
      </c>
      <c r="B65" s="36">
        <f>ROUND(D62*H38,2)</f>
        <v>937.35</v>
      </c>
      <c r="C65" s="37">
        <v>0</v>
      </c>
      <c r="D65" s="38">
        <f>ROUND(D62*H38,2)</f>
        <v>937.35</v>
      </c>
      <c r="E65" s="21">
        <f t="shared" si="34"/>
        <v>937.35</v>
      </c>
      <c r="J65" s="60"/>
      <c r="O65" s="25" t="s">
        <v>72</v>
      </c>
      <c r="P65" s="26">
        <f>16*2080</f>
        <v>33280</v>
      </c>
      <c r="Q65" s="27">
        <f>ROUND(P65*$Q$64,2)</f>
        <v>16640</v>
      </c>
      <c r="R65" s="28">
        <f>ROUND(P65*$R$64,2)</f>
        <v>16640</v>
      </c>
    </row>
    <row r="66" spans="1:18" ht="15" thickBot="1" x14ac:dyDescent="0.35">
      <c r="A66" s="29" t="s">
        <v>46</v>
      </c>
      <c r="B66" s="36">
        <v>1194.3599999999999</v>
      </c>
      <c r="C66" s="37">
        <f>B66*C61</f>
        <v>0</v>
      </c>
      <c r="D66" s="38">
        <f>B66</f>
        <v>1194.3599999999999</v>
      </c>
      <c r="E66" s="21">
        <f t="shared" si="34"/>
        <v>1194.3599999999999</v>
      </c>
      <c r="J66" s="60"/>
      <c r="O66" s="78" t="s">
        <v>56</v>
      </c>
      <c r="P66" s="26">
        <f>+P65*0.02*1.5</f>
        <v>998.40000000000009</v>
      </c>
      <c r="Q66" s="27">
        <f t="shared" ref="Q66:Q72" si="36">ROUND(P66*$Q$64,2)</f>
        <v>499.2</v>
      </c>
      <c r="R66" s="28">
        <f t="shared" ref="R66:R72" si="37">ROUND(P66*$R$64,2)</f>
        <v>499.2</v>
      </c>
    </row>
    <row r="67" spans="1:18" ht="15" thickBot="1" x14ac:dyDescent="0.35">
      <c r="A67" s="29" t="s">
        <v>47</v>
      </c>
      <c r="B67" s="36">
        <v>7530.79</v>
      </c>
      <c r="C67" s="37">
        <v>0</v>
      </c>
      <c r="D67" s="38">
        <f>B67</f>
        <v>7530.79</v>
      </c>
      <c r="E67" s="21">
        <f t="shared" si="34"/>
        <v>7530.79</v>
      </c>
      <c r="J67" s="60"/>
      <c r="O67" s="29" t="s">
        <v>41</v>
      </c>
      <c r="P67" s="18">
        <f>ROUND(R65*V37,2)</f>
        <v>0</v>
      </c>
      <c r="Q67" s="27">
        <f t="shared" si="36"/>
        <v>0</v>
      </c>
      <c r="R67" s="28">
        <f t="shared" si="37"/>
        <v>0</v>
      </c>
    </row>
    <row r="68" spans="1:18" ht="15" thickBot="1" x14ac:dyDescent="0.35">
      <c r="A68" s="29" t="s">
        <v>48</v>
      </c>
      <c r="B68" s="61">
        <f>ROUND(D62*2.25*0.01,2)</f>
        <v>275.69</v>
      </c>
      <c r="C68" s="62">
        <v>0</v>
      </c>
      <c r="D68" s="63">
        <f>ROUND(D62*2.25*0.01,2)</f>
        <v>275.69</v>
      </c>
      <c r="E68" s="21">
        <f t="shared" si="34"/>
        <v>275.69</v>
      </c>
      <c r="J68" s="60"/>
      <c r="O68" s="29" t="s">
        <v>42</v>
      </c>
      <c r="P68" s="18">
        <f>(+P65+P66)*0.03</f>
        <v>1028.3520000000001</v>
      </c>
      <c r="Q68" s="27">
        <f t="shared" si="36"/>
        <v>514.17999999999995</v>
      </c>
      <c r="R68" s="28">
        <f t="shared" si="37"/>
        <v>514.17999999999995</v>
      </c>
    </row>
    <row r="69" spans="1:18" ht="15.75" customHeight="1" thickBot="1" x14ac:dyDescent="0.35">
      <c r="A69" s="46" t="s">
        <v>51</v>
      </c>
      <c r="B69" s="47">
        <f>SUM(B63:B66)</f>
        <v>2828</v>
      </c>
      <c r="C69" s="48"/>
      <c r="D69" s="49"/>
      <c r="E69" s="50"/>
      <c r="J69" s="60"/>
      <c r="O69" s="29" t="s">
        <v>44</v>
      </c>
      <c r="P69" s="18">
        <f>+(+P65+P66)*0.0765</f>
        <v>2622.2975999999999</v>
      </c>
      <c r="Q69" s="27">
        <f t="shared" si="36"/>
        <v>1311.15</v>
      </c>
      <c r="R69" s="28">
        <f t="shared" si="37"/>
        <v>1311.15</v>
      </c>
    </row>
    <row r="70" spans="1:18" ht="15.75" customHeight="1" thickBot="1" x14ac:dyDescent="0.35">
      <c r="A70" s="51" t="s">
        <v>52</v>
      </c>
      <c r="B70" s="52">
        <f>B62-C62-B69</f>
        <v>9424.880000000001</v>
      </c>
      <c r="C70" s="53"/>
      <c r="D70" s="54"/>
      <c r="E70" s="55"/>
      <c r="J70" s="60"/>
      <c r="O70" s="29" t="s">
        <v>46</v>
      </c>
      <c r="P70" s="36">
        <v>0</v>
      </c>
      <c r="Q70" s="27">
        <f t="shared" si="36"/>
        <v>0</v>
      </c>
      <c r="R70" s="28">
        <f t="shared" si="37"/>
        <v>0</v>
      </c>
    </row>
    <row r="71" spans="1:18" ht="15" thickBot="1" x14ac:dyDescent="0.35">
      <c r="A71" s="39" t="s">
        <v>49</v>
      </c>
      <c r="B71" s="56">
        <f>SUM(B62+B64+B67+B68)</f>
        <v>27101.360000000001</v>
      </c>
      <c r="C71" s="56">
        <f t="shared" ref="C71:E71" si="38">SUM(C62+C64+C67+C68)</f>
        <v>6713.3</v>
      </c>
      <c r="D71" s="56">
        <f t="shared" si="38"/>
        <v>20388.059999999998</v>
      </c>
      <c r="E71" s="56">
        <f t="shared" si="38"/>
        <v>27101.360000000001</v>
      </c>
      <c r="J71" s="60"/>
      <c r="O71" s="29" t="s">
        <v>47</v>
      </c>
      <c r="P71" s="36">
        <f>7530.79*1.33</f>
        <v>10015.950700000001</v>
      </c>
      <c r="Q71" s="27">
        <f t="shared" si="36"/>
        <v>5007.9799999999996</v>
      </c>
      <c r="R71" s="28">
        <f t="shared" si="37"/>
        <v>5007.9799999999996</v>
      </c>
    </row>
    <row r="72" spans="1:18" ht="15" thickBot="1" x14ac:dyDescent="0.35">
      <c r="A72" s="39" t="s">
        <v>53</v>
      </c>
      <c r="B72" s="47">
        <f>D71/761</f>
        <v>26.791143232588695</v>
      </c>
      <c r="C72" s="58"/>
      <c r="D72" s="58"/>
      <c r="E72" s="58"/>
      <c r="J72" s="60"/>
      <c r="O72" s="29" t="s">
        <v>48</v>
      </c>
      <c r="P72" s="61">
        <f>ROUND(R65*2.25*0.01,2)</f>
        <v>374.4</v>
      </c>
      <c r="Q72" s="27">
        <f t="shared" si="36"/>
        <v>187.2</v>
      </c>
      <c r="R72" s="28">
        <f t="shared" si="37"/>
        <v>187.2</v>
      </c>
    </row>
    <row r="73" spans="1:18" ht="15" thickBot="1" x14ac:dyDescent="0.35">
      <c r="A73" s="59"/>
      <c r="B73" s="60"/>
      <c r="C73" s="60"/>
      <c r="D73" s="60"/>
      <c r="J73" s="60"/>
      <c r="O73" s="46" t="s">
        <v>51</v>
      </c>
      <c r="P73" s="47">
        <f>SUM(P67:P70)</f>
        <v>3650.6495999999997</v>
      </c>
      <c r="Q73" s="48"/>
      <c r="R73" s="49"/>
    </row>
    <row r="74" spans="1:18" ht="15" thickBot="1" x14ac:dyDescent="0.35">
      <c r="A74" s="706" t="s">
        <v>73</v>
      </c>
      <c r="B74" s="708" t="s">
        <v>34</v>
      </c>
      <c r="C74" s="15" t="s">
        <v>35</v>
      </c>
      <c r="D74" s="16" t="s">
        <v>36</v>
      </c>
      <c r="E74" s="8" t="s">
        <v>37</v>
      </c>
      <c r="J74" s="60"/>
      <c r="O74" s="51" t="s">
        <v>52</v>
      </c>
      <c r="P74" s="52">
        <f>P65-Q65-P73</f>
        <v>12989.350399999999</v>
      </c>
      <c r="Q74" s="53"/>
      <c r="R74" s="54"/>
    </row>
    <row r="75" spans="1:18" ht="15" thickBot="1" x14ac:dyDescent="0.35">
      <c r="A75" s="707"/>
      <c r="B75" s="709"/>
      <c r="C75" s="22">
        <v>0.83</v>
      </c>
      <c r="D75" s="23">
        <v>0.17</v>
      </c>
      <c r="E75" s="24"/>
      <c r="G75" s="60"/>
      <c r="H75" s="60"/>
      <c r="I75" s="60"/>
      <c r="J75" s="60"/>
      <c r="O75" s="39" t="s">
        <v>49</v>
      </c>
      <c r="P75" s="56">
        <f>SUM(P65+P68+P71+P72)</f>
        <v>44698.702700000002</v>
      </c>
      <c r="Q75" s="56">
        <f>SUM(Q65+Q68+Q71+Q72)</f>
        <v>22349.360000000001</v>
      </c>
      <c r="R75" s="56">
        <f>SUM(R65+R68+R71+R72)</f>
        <v>22349.360000000001</v>
      </c>
    </row>
    <row r="76" spans="1:18" ht="15" thickBot="1" x14ac:dyDescent="0.35">
      <c r="A76" s="25" t="s">
        <v>74</v>
      </c>
      <c r="B76" s="26">
        <v>725.25</v>
      </c>
      <c r="C76" s="27">
        <f>ROUND(B76*C75,2)</f>
        <v>601.96</v>
      </c>
      <c r="D76" s="28">
        <f>ROUND(B76*D75,2)</f>
        <v>123.29</v>
      </c>
      <c r="E76" s="14">
        <f>C76+D76</f>
        <v>725.25</v>
      </c>
      <c r="G76" s="60"/>
      <c r="H76" s="60"/>
      <c r="I76" s="60"/>
      <c r="J76" s="60"/>
      <c r="O76" s="39" t="s">
        <v>53</v>
      </c>
      <c r="P76" s="138">
        <f>P75/2080</f>
        <v>21.489760913461538</v>
      </c>
      <c r="Q76" s="58"/>
      <c r="R76" s="58"/>
    </row>
    <row r="77" spans="1:18" ht="15" thickBot="1" x14ac:dyDescent="0.35">
      <c r="A77" s="29" t="s">
        <v>41</v>
      </c>
      <c r="B77" s="18">
        <v>0</v>
      </c>
      <c r="C77" s="19">
        <v>0</v>
      </c>
      <c r="D77" s="20">
        <v>0</v>
      </c>
      <c r="E77" s="21">
        <f t="shared" ref="E77:E82" si="39">SUM(C77:D77)</f>
        <v>0</v>
      </c>
      <c r="G77" s="60"/>
      <c r="H77" s="60"/>
      <c r="I77" s="60"/>
      <c r="J77" s="60"/>
      <c r="O77" s="59"/>
      <c r="P77" s="60"/>
      <c r="Q77" s="60"/>
      <c r="R77" s="60"/>
    </row>
    <row r="78" spans="1:18" x14ac:dyDescent="0.3">
      <c r="A78" s="29" t="s">
        <v>42</v>
      </c>
      <c r="B78" s="18">
        <v>0</v>
      </c>
      <c r="C78" s="19">
        <f>B78*C75</f>
        <v>0</v>
      </c>
      <c r="D78" s="20">
        <f>B78*D75</f>
        <v>0</v>
      </c>
      <c r="E78" s="21">
        <f t="shared" ref="E78" si="40">SUM(C78:D78)</f>
        <v>0</v>
      </c>
      <c r="G78" s="60"/>
      <c r="H78" s="60"/>
      <c r="I78" s="60"/>
      <c r="J78" s="60"/>
      <c r="O78" s="706" t="s">
        <v>73</v>
      </c>
      <c r="P78" s="708" t="s">
        <v>34</v>
      </c>
      <c r="Q78" s="15" t="s">
        <v>35</v>
      </c>
      <c r="R78" s="16" t="s">
        <v>36</v>
      </c>
    </row>
    <row r="79" spans="1:18" ht="15" thickBot="1" x14ac:dyDescent="0.35">
      <c r="A79" s="29" t="s">
        <v>44</v>
      </c>
      <c r="B79" s="36">
        <f>ROUND(B76*H38,2)</f>
        <v>55.48</v>
      </c>
      <c r="C79" s="37">
        <f>ROUND(C76*H38,2)</f>
        <v>46.05</v>
      </c>
      <c r="D79" s="38">
        <f>ROUND(D76*H38,2)</f>
        <v>9.43</v>
      </c>
      <c r="E79" s="21">
        <f t="shared" si="39"/>
        <v>55.48</v>
      </c>
      <c r="G79" s="60"/>
      <c r="H79" s="60"/>
      <c r="I79" s="60"/>
      <c r="J79" s="60"/>
      <c r="O79" s="707"/>
      <c r="P79" s="709"/>
      <c r="Q79" s="22">
        <v>0.83</v>
      </c>
      <c r="R79" s="23">
        <v>0.17</v>
      </c>
    </row>
    <row r="80" spans="1:18" ht="15" thickBot="1" x14ac:dyDescent="0.35">
      <c r="A80" s="29" t="s">
        <v>46</v>
      </c>
      <c r="B80" s="36">
        <v>62.63</v>
      </c>
      <c r="C80" s="37">
        <f>B80*C75</f>
        <v>51.982900000000001</v>
      </c>
      <c r="D80" s="38">
        <f>B80*D75</f>
        <v>10.647100000000002</v>
      </c>
      <c r="E80" s="21">
        <f t="shared" si="39"/>
        <v>62.63</v>
      </c>
      <c r="G80" s="60"/>
      <c r="H80" s="60"/>
      <c r="I80" s="60"/>
      <c r="J80" s="60"/>
      <c r="O80" s="25" t="s">
        <v>74</v>
      </c>
      <c r="P80" s="26">
        <f>10*32*52</f>
        <v>16640</v>
      </c>
      <c r="Q80" s="27">
        <f>ROUND(P80*$Q$79,2)</f>
        <v>13811.2</v>
      </c>
      <c r="R80" s="28">
        <f>ROUND(P80*$R$79,2)</f>
        <v>2828.8</v>
      </c>
    </row>
    <row r="81" spans="1:18" ht="15" thickBot="1" x14ac:dyDescent="0.35">
      <c r="A81" s="29" t="s">
        <v>75</v>
      </c>
      <c r="B81" s="36">
        <v>0</v>
      </c>
      <c r="C81" s="37">
        <v>0</v>
      </c>
      <c r="D81" s="38">
        <v>0</v>
      </c>
      <c r="E81" s="21">
        <f t="shared" si="39"/>
        <v>0</v>
      </c>
      <c r="G81" s="60"/>
      <c r="H81" s="60"/>
      <c r="I81" s="60"/>
      <c r="J81" s="60"/>
      <c r="O81" s="29" t="s">
        <v>41</v>
      </c>
      <c r="P81" s="18">
        <v>0</v>
      </c>
      <c r="Q81" s="27">
        <f t="shared" ref="Q81:Q86" si="41">ROUND(P81*$Q$79,2)</f>
        <v>0</v>
      </c>
      <c r="R81" s="28">
        <f t="shared" ref="R81:R86" si="42">ROUND(P81*$R$79,2)</f>
        <v>0</v>
      </c>
    </row>
    <row r="82" spans="1:18" ht="15" thickBot="1" x14ac:dyDescent="0.35">
      <c r="A82" s="29" t="s">
        <v>48</v>
      </c>
      <c r="B82" s="61">
        <f>ROUND(B76*14.5*0.01,2)</f>
        <v>105.16</v>
      </c>
      <c r="C82" s="62">
        <f t="shared" ref="C82:D82" si="43">ROUND(C76*14.5*0.01,2)</f>
        <v>87.28</v>
      </c>
      <c r="D82" s="63">
        <f t="shared" si="43"/>
        <v>17.88</v>
      </c>
      <c r="E82" s="21">
        <f t="shared" si="39"/>
        <v>105.16</v>
      </c>
      <c r="G82" s="60"/>
      <c r="H82" s="60"/>
      <c r="I82" s="60"/>
      <c r="J82" s="60"/>
      <c r="O82" s="29" t="s">
        <v>42</v>
      </c>
      <c r="P82" s="18">
        <v>0</v>
      </c>
      <c r="Q82" s="27">
        <f t="shared" si="41"/>
        <v>0</v>
      </c>
      <c r="R82" s="28">
        <f t="shared" si="42"/>
        <v>0</v>
      </c>
    </row>
    <row r="83" spans="1:18" ht="15" thickBot="1" x14ac:dyDescent="0.35">
      <c r="A83" s="46" t="s">
        <v>51</v>
      </c>
      <c r="B83" s="47">
        <f>SUM(B77:B80)</f>
        <v>118.11</v>
      </c>
      <c r="C83" s="48"/>
      <c r="D83" s="49"/>
      <c r="E83" s="50"/>
      <c r="G83" s="60"/>
      <c r="H83" s="60"/>
      <c r="I83" s="60"/>
      <c r="J83" s="60"/>
      <c r="O83" s="29" t="s">
        <v>44</v>
      </c>
      <c r="P83" s="18">
        <f>+P80*0.0765</f>
        <v>1272.96</v>
      </c>
      <c r="Q83" s="27">
        <f t="shared" si="41"/>
        <v>1056.56</v>
      </c>
      <c r="R83" s="28">
        <f t="shared" si="42"/>
        <v>216.4</v>
      </c>
    </row>
    <row r="84" spans="1:18" ht="15" thickBot="1" x14ac:dyDescent="0.35">
      <c r="A84" s="51" t="s">
        <v>52</v>
      </c>
      <c r="B84" s="52">
        <f>B76-B83</f>
        <v>607.14</v>
      </c>
      <c r="C84" s="53"/>
      <c r="D84" s="54"/>
      <c r="E84" s="55"/>
      <c r="G84" s="60"/>
      <c r="H84" s="60"/>
      <c r="I84" s="60"/>
      <c r="J84" s="60"/>
      <c r="O84" s="29" t="s">
        <v>46</v>
      </c>
      <c r="P84" s="36">
        <v>0</v>
      </c>
      <c r="Q84" s="27">
        <f t="shared" si="41"/>
        <v>0</v>
      </c>
      <c r="R84" s="28">
        <f t="shared" si="42"/>
        <v>0</v>
      </c>
    </row>
    <row r="85" spans="1:18" ht="15" thickBot="1" x14ac:dyDescent="0.35">
      <c r="A85" s="39" t="s">
        <v>49</v>
      </c>
      <c r="B85" s="56">
        <f>SUM(B76+B78+B81+B82)</f>
        <v>830.41</v>
      </c>
      <c r="C85" s="56">
        <f t="shared" ref="C85:E85" si="44">SUM(C76+C78+C81+C82)</f>
        <v>689.24</v>
      </c>
      <c r="D85" s="56">
        <f t="shared" si="44"/>
        <v>141.17000000000002</v>
      </c>
      <c r="E85" s="56">
        <f t="shared" si="44"/>
        <v>830.41</v>
      </c>
      <c r="G85" s="60"/>
      <c r="H85" s="60"/>
      <c r="I85" s="60"/>
      <c r="J85" s="60"/>
      <c r="O85" s="29" t="s">
        <v>75</v>
      </c>
      <c r="P85" s="36">
        <v>0</v>
      </c>
      <c r="Q85" s="27">
        <f t="shared" si="41"/>
        <v>0</v>
      </c>
      <c r="R85" s="28">
        <f t="shared" si="42"/>
        <v>0</v>
      </c>
    </row>
    <row r="86" spans="1:18" ht="15" thickBot="1" x14ac:dyDescent="0.35">
      <c r="A86" s="39" t="s">
        <v>53</v>
      </c>
      <c r="B86" s="47">
        <f>B85/72</f>
        <v>11.533472222222223</v>
      </c>
      <c r="C86" s="58"/>
      <c r="D86" s="58"/>
      <c r="E86" s="58"/>
      <c r="G86" s="60"/>
      <c r="H86" s="60"/>
      <c r="I86" s="60"/>
      <c r="J86" s="60"/>
      <c r="O86" s="29" t="s">
        <v>48</v>
      </c>
      <c r="P86" s="61">
        <f>ROUND(P80*14.5*0.01,2)</f>
        <v>2412.8000000000002</v>
      </c>
      <c r="Q86" s="27">
        <f t="shared" si="41"/>
        <v>2002.62</v>
      </c>
      <c r="R86" s="28">
        <f t="shared" si="42"/>
        <v>410.18</v>
      </c>
    </row>
    <row r="87" spans="1:18" ht="15" thickBot="1" x14ac:dyDescent="0.35">
      <c r="A87" s="59"/>
      <c r="B87" s="60"/>
      <c r="C87" s="60"/>
      <c r="D87" s="60"/>
      <c r="G87" s="60"/>
      <c r="H87" s="60"/>
      <c r="I87" s="60"/>
      <c r="J87" s="60"/>
      <c r="O87" s="46" t="s">
        <v>51</v>
      </c>
      <c r="P87" s="47">
        <f>SUM(P81:P84)</f>
        <v>1272.96</v>
      </c>
      <c r="Q87" s="48"/>
      <c r="R87" s="49"/>
    </row>
    <row r="88" spans="1:18" ht="15" thickBot="1" x14ac:dyDescent="0.35">
      <c r="A88" s="710" t="s">
        <v>76</v>
      </c>
      <c r="B88" s="708" t="s">
        <v>34</v>
      </c>
      <c r="C88" s="15" t="s">
        <v>35</v>
      </c>
      <c r="D88" s="16" t="s">
        <v>36</v>
      </c>
      <c r="E88" s="9" t="s">
        <v>37</v>
      </c>
      <c r="G88" s="60"/>
      <c r="H88" s="60"/>
      <c r="I88" s="60"/>
      <c r="J88" s="60"/>
      <c r="O88" s="51" t="s">
        <v>52</v>
      </c>
      <c r="P88" s="52">
        <f>P80-P87</f>
        <v>15367.04</v>
      </c>
      <c r="Q88" s="53"/>
      <c r="R88" s="54"/>
    </row>
    <row r="89" spans="1:18" ht="15" thickBot="1" x14ac:dyDescent="0.35">
      <c r="A89" s="711"/>
      <c r="B89" s="709"/>
      <c r="C89" s="22"/>
      <c r="D89" s="23"/>
      <c r="E89" s="67"/>
      <c r="G89" s="60"/>
      <c r="H89" s="60"/>
      <c r="I89" s="60"/>
      <c r="J89" s="60"/>
      <c r="O89" s="39" t="s">
        <v>49</v>
      </c>
      <c r="P89" s="56">
        <f>SUM(P80+P82+P85+P86)</f>
        <v>19052.8</v>
      </c>
      <c r="Q89" s="56">
        <f t="shared" ref="Q89:R89" si="45">SUM(Q80+Q82+Q85+Q86)</f>
        <v>15813.82</v>
      </c>
      <c r="R89" s="56">
        <f t="shared" si="45"/>
        <v>3238.98</v>
      </c>
    </row>
    <row r="90" spans="1:18" ht="15" thickBot="1" x14ac:dyDescent="0.35">
      <c r="A90" s="25" t="s">
        <v>77</v>
      </c>
      <c r="B90" s="26">
        <v>4262.9799999999996</v>
      </c>
      <c r="C90" s="27">
        <v>54.14</v>
      </c>
      <c r="D90" s="28">
        <v>4208.8500000000004</v>
      </c>
      <c r="E90" s="14">
        <f>C90+D90</f>
        <v>4262.9900000000007</v>
      </c>
      <c r="G90" s="60"/>
      <c r="H90" s="60"/>
      <c r="I90" s="60"/>
      <c r="J90" s="60"/>
      <c r="O90" s="39" t="s">
        <v>53</v>
      </c>
      <c r="P90" s="47">
        <f>P89/(32*52)</f>
        <v>11.45</v>
      </c>
      <c r="Q90" s="58"/>
      <c r="R90" s="58"/>
    </row>
    <row r="91" spans="1:18" ht="15" thickBot="1" x14ac:dyDescent="0.35">
      <c r="A91" s="29" t="s">
        <v>41</v>
      </c>
      <c r="B91" s="18">
        <v>0</v>
      </c>
      <c r="C91" s="19">
        <v>0</v>
      </c>
      <c r="D91" s="20">
        <v>0</v>
      </c>
      <c r="E91" s="21">
        <f t="shared" ref="E91:E96" si="46">SUM(C91:D91)</f>
        <v>0</v>
      </c>
      <c r="G91" s="60"/>
      <c r="H91" s="60"/>
      <c r="I91" s="60"/>
      <c r="J91" s="60"/>
      <c r="O91" s="59"/>
      <c r="P91" s="60"/>
      <c r="Q91" s="60"/>
      <c r="R91" s="60"/>
    </row>
    <row r="92" spans="1:18" x14ac:dyDescent="0.3">
      <c r="A92" s="29" t="s">
        <v>42</v>
      </c>
      <c r="B92" s="18">
        <v>0</v>
      </c>
      <c r="C92" s="19">
        <f>B92*C89</f>
        <v>0</v>
      </c>
      <c r="D92" s="20">
        <f>B92*D89</f>
        <v>0</v>
      </c>
      <c r="E92" s="21">
        <f t="shared" ref="E92" si="47">SUM(C92:D92)</f>
        <v>0</v>
      </c>
      <c r="G92" s="60"/>
      <c r="H92" s="60"/>
      <c r="I92" s="60"/>
      <c r="J92" s="60"/>
      <c r="O92" s="710" t="s">
        <v>76</v>
      </c>
      <c r="P92" s="708" t="s">
        <v>34</v>
      </c>
      <c r="Q92" s="15" t="s">
        <v>35</v>
      </c>
      <c r="R92" s="16" t="s">
        <v>36</v>
      </c>
    </row>
    <row r="93" spans="1:18" ht="15" thickBot="1" x14ac:dyDescent="0.35">
      <c r="A93" s="29" t="s">
        <v>44</v>
      </c>
      <c r="B93" s="36">
        <f>ROUND(B90*H38,2)</f>
        <v>326.12</v>
      </c>
      <c r="C93" s="37">
        <f>ROUND(C90*H38,2)</f>
        <v>4.1399999999999997</v>
      </c>
      <c r="D93" s="38">
        <f>ROUND(D90*H38,2)</f>
        <v>321.98</v>
      </c>
      <c r="E93" s="21">
        <f t="shared" si="46"/>
        <v>326.12</v>
      </c>
      <c r="G93" s="60"/>
      <c r="H93" s="60"/>
      <c r="I93" s="60"/>
      <c r="J93" s="60"/>
      <c r="O93" s="711"/>
      <c r="P93" s="709"/>
      <c r="Q93" s="22">
        <v>0</v>
      </c>
      <c r="R93" s="23">
        <v>1</v>
      </c>
    </row>
    <row r="94" spans="1:18" ht="15" thickBot="1" x14ac:dyDescent="0.35">
      <c r="A94" s="29" t="s">
        <v>46</v>
      </c>
      <c r="B94" s="36">
        <v>0</v>
      </c>
      <c r="C94" s="37">
        <f>B94*C89</f>
        <v>0</v>
      </c>
      <c r="D94" s="38">
        <f>B94*D89</f>
        <v>0</v>
      </c>
      <c r="E94" s="21">
        <f t="shared" ref="E94" si="48">SUM(C94:D94)</f>
        <v>0</v>
      </c>
      <c r="G94" s="60"/>
      <c r="H94" s="60"/>
      <c r="I94" s="60"/>
      <c r="J94" s="60"/>
      <c r="O94" s="25" t="s">
        <v>77</v>
      </c>
      <c r="P94" s="26">
        <f>432.41*12</f>
        <v>5188.92</v>
      </c>
      <c r="Q94" s="27">
        <f>ROUND(P94*$Q$93,2)</f>
        <v>0</v>
      </c>
      <c r="R94" s="28">
        <f>ROUND(P94*$R$93,2)</f>
        <v>5188.92</v>
      </c>
    </row>
    <row r="95" spans="1:18" ht="15" thickBot="1" x14ac:dyDescent="0.35">
      <c r="A95" s="29" t="s">
        <v>75</v>
      </c>
      <c r="B95" s="36">
        <v>0</v>
      </c>
      <c r="C95" s="37">
        <v>0</v>
      </c>
      <c r="D95" s="38">
        <v>0</v>
      </c>
      <c r="E95" s="21">
        <f t="shared" si="46"/>
        <v>0</v>
      </c>
      <c r="G95" s="60"/>
      <c r="H95" s="60"/>
      <c r="I95" s="60"/>
      <c r="J95" s="60"/>
      <c r="O95" s="29" t="s">
        <v>41</v>
      </c>
      <c r="P95" s="18">
        <v>0</v>
      </c>
      <c r="Q95" s="27">
        <f t="shared" ref="Q95:Q100" si="49">ROUND(P95*$Q$93,2)</f>
        <v>0</v>
      </c>
      <c r="R95" s="28">
        <f t="shared" ref="R95:R100" si="50">ROUND(P95*$R$93,2)</f>
        <v>0</v>
      </c>
    </row>
    <row r="96" spans="1:18" ht="15" thickBot="1" x14ac:dyDescent="0.35">
      <c r="A96" s="29" t="s">
        <v>48</v>
      </c>
      <c r="B96" s="61">
        <f>ROUND(D90*14.5*0.01,2)</f>
        <v>610.28</v>
      </c>
      <c r="C96" s="62">
        <v>0</v>
      </c>
      <c r="D96" s="63">
        <f>B96</f>
        <v>610.28</v>
      </c>
      <c r="E96" s="21">
        <f t="shared" si="46"/>
        <v>610.28</v>
      </c>
      <c r="G96" s="60"/>
      <c r="H96" s="60"/>
      <c r="I96" s="60"/>
      <c r="J96" s="60"/>
      <c r="O96" s="29" t="s">
        <v>42</v>
      </c>
      <c r="P96" s="18">
        <v>0</v>
      </c>
      <c r="Q96" s="27">
        <f t="shared" si="49"/>
        <v>0</v>
      </c>
      <c r="R96" s="28">
        <f t="shared" si="50"/>
        <v>0</v>
      </c>
    </row>
    <row r="97" spans="1:18" ht="15" thickBot="1" x14ac:dyDescent="0.35">
      <c r="A97" s="46" t="s">
        <v>51</v>
      </c>
      <c r="B97" s="47">
        <f>SUM(B91:B94)</f>
        <v>326.12</v>
      </c>
      <c r="C97" s="48"/>
      <c r="D97" s="49"/>
      <c r="E97" s="50"/>
      <c r="G97" s="60"/>
      <c r="H97" s="60"/>
      <c r="I97" s="60"/>
      <c r="J97" s="60"/>
      <c r="O97" s="29" t="s">
        <v>44</v>
      </c>
      <c r="P97" s="36">
        <f>ROUND(P94*V38,2)</f>
        <v>0</v>
      </c>
      <c r="Q97" s="27">
        <f t="shared" si="49"/>
        <v>0</v>
      </c>
      <c r="R97" s="28">
        <f t="shared" si="50"/>
        <v>0</v>
      </c>
    </row>
    <row r="98" spans="1:18" ht="15" thickBot="1" x14ac:dyDescent="0.35">
      <c r="A98" s="51" t="s">
        <v>52</v>
      </c>
      <c r="B98" s="52">
        <f>B90-B97</f>
        <v>3936.8599999999997</v>
      </c>
      <c r="C98" s="53"/>
      <c r="D98" s="54"/>
      <c r="E98" s="55"/>
      <c r="G98" s="60"/>
      <c r="H98" s="60"/>
      <c r="I98" s="60"/>
      <c r="J98" s="60"/>
      <c r="O98" s="29" t="s">
        <v>46</v>
      </c>
      <c r="P98" s="36">
        <v>0</v>
      </c>
      <c r="Q98" s="27">
        <f t="shared" si="49"/>
        <v>0</v>
      </c>
      <c r="R98" s="28">
        <f t="shared" si="50"/>
        <v>0</v>
      </c>
    </row>
    <row r="99" spans="1:18" ht="15" thickBot="1" x14ac:dyDescent="0.35">
      <c r="A99" s="39" t="s">
        <v>49</v>
      </c>
      <c r="B99" s="56">
        <f>SUM(B90+B92+B95+B96)</f>
        <v>4873.2599999999993</v>
      </c>
      <c r="C99" s="56">
        <f t="shared" ref="C99:E99" si="51">SUM(C90+C92+C95+C96)</f>
        <v>54.14</v>
      </c>
      <c r="D99" s="56">
        <f t="shared" si="51"/>
        <v>4819.13</v>
      </c>
      <c r="E99" s="56">
        <f t="shared" si="51"/>
        <v>4873.2700000000004</v>
      </c>
      <c r="G99" s="60"/>
      <c r="H99" s="60"/>
      <c r="I99" s="60"/>
      <c r="J99" s="60"/>
      <c r="O99" s="29" t="s">
        <v>75</v>
      </c>
      <c r="P99" s="36">
        <v>0</v>
      </c>
      <c r="Q99" s="27">
        <f t="shared" si="49"/>
        <v>0</v>
      </c>
      <c r="R99" s="28">
        <f t="shared" si="50"/>
        <v>0</v>
      </c>
    </row>
    <row r="100" spans="1:18" ht="15" thickBot="1" x14ac:dyDescent="0.35">
      <c r="A100" s="59"/>
      <c r="B100" s="60"/>
      <c r="C100" s="60"/>
      <c r="D100" s="60"/>
      <c r="G100" s="60"/>
      <c r="H100" s="60"/>
      <c r="I100" s="60"/>
      <c r="J100" s="60"/>
      <c r="O100" s="29" t="s">
        <v>48</v>
      </c>
      <c r="P100" s="61">
        <f>ROUND(R94*14.5*0.01,2)</f>
        <v>752.39</v>
      </c>
      <c r="Q100" s="27">
        <f t="shared" si="49"/>
        <v>0</v>
      </c>
      <c r="R100" s="28">
        <f t="shared" si="50"/>
        <v>752.39</v>
      </c>
    </row>
    <row r="101" spans="1:18" ht="15" thickBot="1" x14ac:dyDescent="0.35">
      <c r="A101" s="710" t="s">
        <v>78</v>
      </c>
      <c r="B101" s="708" t="s">
        <v>34</v>
      </c>
      <c r="C101" s="15" t="s">
        <v>35</v>
      </c>
      <c r="D101" s="16" t="s">
        <v>36</v>
      </c>
      <c r="E101" s="9" t="s">
        <v>37</v>
      </c>
      <c r="G101" s="60"/>
      <c r="H101" s="60"/>
      <c r="I101" s="60"/>
      <c r="J101" s="60"/>
      <c r="O101" s="46" t="s">
        <v>51</v>
      </c>
      <c r="P101" s="47">
        <f>SUM(P95:P98)</f>
        <v>0</v>
      </c>
      <c r="Q101" s="48"/>
      <c r="R101" s="49"/>
    </row>
    <row r="102" spans="1:18" ht="15" thickBot="1" x14ac:dyDescent="0.35">
      <c r="A102" s="711"/>
      <c r="B102" s="709"/>
      <c r="C102" s="22"/>
      <c r="D102" s="23"/>
      <c r="E102" s="67"/>
      <c r="G102" s="60"/>
      <c r="H102" s="60"/>
      <c r="I102" s="60"/>
      <c r="J102" s="60"/>
      <c r="O102" s="51" t="s">
        <v>52</v>
      </c>
      <c r="P102" s="52">
        <f>P94-P101</f>
        <v>5188.92</v>
      </c>
      <c r="Q102" s="53"/>
      <c r="R102" s="54"/>
    </row>
    <row r="103" spans="1:18" ht="15" thickBot="1" x14ac:dyDescent="0.35">
      <c r="A103" s="25" t="s">
        <v>79</v>
      </c>
      <c r="B103" s="26">
        <v>14691.54</v>
      </c>
      <c r="C103" s="27">
        <f>B103</f>
        <v>14691.54</v>
      </c>
      <c r="D103" s="28">
        <v>0</v>
      </c>
      <c r="E103" s="14">
        <f>C103+D103</f>
        <v>14691.54</v>
      </c>
      <c r="G103" s="60"/>
      <c r="H103" s="60"/>
      <c r="I103" s="60"/>
      <c r="J103" s="60"/>
      <c r="O103" s="39" t="s">
        <v>49</v>
      </c>
      <c r="P103" s="56">
        <f>SUM(P94+P96+P99+P100)</f>
        <v>5941.31</v>
      </c>
      <c r="Q103" s="56">
        <f t="shared" ref="Q103:R103" si="52">SUM(Q94+Q96+Q99+Q100)</f>
        <v>0</v>
      </c>
      <c r="R103" s="56">
        <f t="shared" si="52"/>
        <v>5941.31</v>
      </c>
    </row>
    <row r="104" spans="1:18" x14ac:dyDescent="0.3">
      <c r="A104" s="29" t="s">
        <v>41</v>
      </c>
      <c r="B104" s="18">
        <f>ROUND(B103*H37,3)</f>
        <v>440.74599999999998</v>
      </c>
      <c r="C104" s="19">
        <f>ROUND(C103*H37,2)</f>
        <v>440.75</v>
      </c>
      <c r="D104" s="20">
        <f>ROUND(D103*H37,2)</f>
        <v>0</v>
      </c>
      <c r="E104" s="21">
        <f t="shared" ref="E104:E109" si="53">SUM(C104:D104)</f>
        <v>440.75</v>
      </c>
      <c r="G104" s="60"/>
      <c r="H104" s="60"/>
      <c r="I104" s="60"/>
      <c r="J104" s="60"/>
      <c r="O104" s="59"/>
      <c r="P104" s="60"/>
      <c r="Q104" s="60"/>
      <c r="R104" s="60"/>
    </row>
    <row r="105" spans="1:18" ht="15" thickBot="1" x14ac:dyDescent="0.35">
      <c r="A105" s="29" t="s">
        <v>42</v>
      </c>
      <c r="B105" s="18">
        <v>1433.08</v>
      </c>
      <c r="C105" s="19">
        <f>B105</f>
        <v>1433.08</v>
      </c>
      <c r="D105" s="20">
        <f>B105*D102</f>
        <v>0</v>
      </c>
      <c r="E105" s="21">
        <f t="shared" si="53"/>
        <v>1433.08</v>
      </c>
      <c r="G105" s="60"/>
      <c r="H105" s="60"/>
      <c r="I105" s="60"/>
      <c r="J105" s="60"/>
    </row>
    <row r="106" spans="1:18" x14ac:dyDescent="0.3">
      <c r="A106" s="29" t="s">
        <v>44</v>
      </c>
      <c r="B106" s="36">
        <f>ROUND(B103*H38,2)</f>
        <v>1123.9000000000001</v>
      </c>
      <c r="C106" s="37">
        <f>ROUND(C103*H38,2)</f>
        <v>1123.9000000000001</v>
      </c>
      <c r="D106" s="38">
        <f>ROUND(D103*H38,2)</f>
        <v>0</v>
      </c>
      <c r="E106" s="21">
        <f t="shared" si="53"/>
        <v>1123.9000000000001</v>
      </c>
      <c r="G106" s="60"/>
      <c r="H106" s="60"/>
      <c r="I106" s="60"/>
      <c r="J106" s="60"/>
      <c r="O106" s="710" t="s">
        <v>80</v>
      </c>
      <c r="P106" s="708" t="s">
        <v>34</v>
      </c>
      <c r="Q106" s="15" t="s">
        <v>35</v>
      </c>
      <c r="R106" s="16" t="s">
        <v>36</v>
      </c>
    </row>
    <row r="107" spans="1:18" ht="15" thickBot="1" x14ac:dyDescent="0.35">
      <c r="A107" s="29" t="s">
        <v>46</v>
      </c>
      <c r="B107" s="36">
        <v>2038.71</v>
      </c>
      <c r="C107" s="37">
        <f>B107</f>
        <v>2038.71</v>
      </c>
      <c r="D107" s="38">
        <f>B107*D102</f>
        <v>0</v>
      </c>
      <c r="E107" s="21">
        <f t="shared" si="53"/>
        <v>2038.71</v>
      </c>
      <c r="G107" s="60"/>
      <c r="H107" s="60"/>
      <c r="I107" s="60"/>
      <c r="J107" s="60"/>
      <c r="O107" s="711"/>
      <c r="P107" s="709"/>
      <c r="Q107" s="22"/>
      <c r="R107" s="23"/>
    </row>
    <row r="108" spans="1:18" x14ac:dyDescent="0.3">
      <c r="A108" s="29" t="s">
        <v>75</v>
      </c>
      <c r="B108" s="36">
        <v>10113.27</v>
      </c>
      <c r="C108" s="37">
        <f>B108</f>
        <v>10113.27</v>
      </c>
      <c r="D108" s="38">
        <v>0</v>
      </c>
      <c r="E108" s="21">
        <f t="shared" si="53"/>
        <v>10113.27</v>
      </c>
      <c r="G108" s="60"/>
      <c r="H108" s="60"/>
      <c r="I108" s="60"/>
      <c r="J108" s="60"/>
      <c r="O108" t="s">
        <v>81</v>
      </c>
      <c r="Q108" s="79">
        <f>+Q5+Q19+Q20+Q35+Q36+Q50+Q51+Q65+Q66+Q80+Q81+Q94+Q95</f>
        <v>144259.64000000001</v>
      </c>
      <c r="R108" s="79">
        <f>+R5+R19+R20+R35+R36+R50+R51+R65+R66+R80+R81+R94+R95</f>
        <v>75316.87999999999</v>
      </c>
    </row>
    <row r="109" spans="1:18" ht="15" thickBot="1" x14ac:dyDescent="0.35">
      <c r="A109" s="29" t="s">
        <v>48</v>
      </c>
      <c r="B109" s="61">
        <f>ROUND(B103*2.25*0.01,2)</f>
        <v>330.56</v>
      </c>
      <c r="C109" s="62">
        <f t="shared" ref="C109:D109" si="54">ROUND(C103*2.25*0.01,2)</f>
        <v>330.56</v>
      </c>
      <c r="D109" s="63">
        <f t="shared" si="54"/>
        <v>0</v>
      </c>
      <c r="E109" s="21">
        <f t="shared" si="53"/>
        <v>330.56</v>
      </c>
      <c r="G109" s="60"/>
      <c r="H109" s="60"/>
      <c r="I109" s="60"/>
      <c r="J109" s="60"/>
      <c r="O109" t="s">
        <v>82</v>
      </c>
      <c r="Q109" s="79">
        <f>+Q11+Q27+Q42+Q57+Q72+Q86+Q100</f>
        <v>11442.86</v>
      </c>
      <c r="R109" s="79">
        <f>+R11+R27+R42+R57+R72+R86+R100</f>
        <v>5192.9900000000007</v>
      </c>
    </row>
    <row r="110" spans="1:18" ht="15" thickBot="1" x14ac:dyDescent="0.35">
      <c r="A110" s="46" t="s">
        <v>51</v>
      </c>
      <c r="B110" s="47">
        <f>SUM(B104:B107)</f>
        <v>5036.4359999999997</v>
      </c>
      <c r="C110" s="48"/>
      <c r="D110" s="49"/>
      <c r="E110" s="50"/>
      <c r="G110" s="60"/>
      <c r="H110" s="60"/>
      <c r="I110" s="60"/>
      <c r="J110" s="60"/>
      <c r="O110" t="s">
        <v>83</v>
      </c>
      <c r="Q110" s="79">
        <f>SUM(Q20,Q36,Q51,Q66)</f>
        <v>8656.44</v>
      </c>
      <c r="R110" s="79">
        <f>SUM(R20,R36,R51,R66)</f>
        <v>3995.16</v>
      </c>
    </row>
    <row r="111" spans="1:18" ht="15" thickBot="1" x14ac:dyDescent="0.35">
      <c r="A111" s="51" t="s">
        <v>52</v>
      </c>
      <c r="B111" s="52">
        <f>B103-B110</f>
        <v>9655.1040000000012</v>
      </c>
      <c r="C111" s="53"/>
      <c r="D111" s="54"/>
      <c r="E111" s="55"/>
      <c r="G111" s="60"/>
      <c r="H111" s="60"/>
      <c r="I111" s="60"/>
      <c r="J111" s="60"/>
      <c r="O111" t="s">
        <v>84</v>
      </c>
      <c r="Q111" s="79">
        <f>SUM(Q99,Q85,Q71,Q56,Q41,Q26,Q10)</f>
        <v>35435</v>
      </c>
      <c r="R111" s="79">
        <f>SUM(R99,R85,R71,R56,R41,R26,R10)</f>
        <v>17560.560000000001</v>
      </c>
    </row>
    <row r="112" spans="1:18" ht="15" thickBot="1" x14ac:dyDescent="0.35">
      <c r="A112" s="39" t="s">
        <v>49</v>
      </c>
      <c r="B112" s="56">
        <f>SUM(B103+B105+B108+B109)</f>
        <v>26568.45</v>
      </c>
      <c r="C112" s="56">
        <f t="shared" ref="C112:E112" si="55">SUM(C103+C105+C108+C109)</f>
        <v>26568.45</v>
      </c>
      <c r="D112" s="56">
        <f t="shared" si="55"/>
        <v>0</v>
      </c>
      <c r="E112" s="56">
        <f t="shared" si="55"/>
        <v>26568.45</v>
      </c>
      <c r="G112" s="60"/>
      <c r="H112" s="60"/>
      <c r="I112" s="60"/>
      <c r="J112" s="60"/>
    </row>
    <row r="113" spans="1:18" ht="15" thickBot="1" x14ac:dyDescent="0.35">
      <c r="A113" s="59"/>
      <c r="B113" s="60"/>
      <c r="C113" s="60"/>
      <c r="D113" s="60"/>
      <c r="G113" s="60"/>
      <c r="H113" s="60"/>
      <c r="I113" s="60"/>
      <c r="J113" s="60"/>
    </row>
    <row r="114" spans="1:18" x14ac:dyDescent="0.3">
      <c r="A114" s="706" t="s">
        <v>85</v>
      </c>
      <c r="B114" s="708" t="s">
        <v>34</v>
      </c>
      <c r="C114" s="15" t="s">
        <v>35</v>
      </c>
      <c r="D114" s="16" t="s">
        <v>36</v>
      </c>
      <c r="E114" s="9" t="s">
        <v>37</v>
      </c>
      <c r="G114" s="60"/>
      <c r="H114" s="60"/>
      <c r="I114" s="60"/>
      <c r="J114" s="60"/>
    </row>
    <row r="115" spans="1:18" ht="15" thickBot="1" x14ac:dyDescent="0.35">
      <c r="A115" s="707"/>
      <c r="B115" s="709"/>
      <c r="C115" s="22">
        <v>0.82</v>
      </c>
      <c r="D115" s="23">
        <v>0.18</v>
      </c>
      <c r="E115" s="67"/>
      <c r="G115" s="60"/>
      <c r="H115" s="60"/>
      <c r="I115" s="60"/>
      <c r="J115" s="60"/>
    </row>
    <row r="116" spans="1:18" x14ac:dyDescent="0.3">
      <c r="A116" s="25" t="s">
        <v>86</v>
      </c>
      <c r="B116" s="26">
        <v>5852.36</v>
      </c>
      <c r="C116" s="27">
        <f>ROUND(B116*C115,2)</f>
        <v>4798.9399999999996</v>
      </c>
      <c r="D116" s="28">
        <f>ROUND(B116*D115,2)</f>
        <v>1053.42</v>
      </c>
      <c r="E116" s="14">
        <f>C116+D116</f>
        <v>5852.36</v>
      </c>
      <c r="G116" s="60"/>
      <c r="H116" s="60"/>
      <c r="I116" s="60"/>
      <c r="J116" s="60"/>
      <c r="R116" s="5"/>
    </row>
    <row r="117" spans="1:18" x14ac:dyDescent="0.3">
      <c r="A117" s="29" t="s">
        <v>41</v>
      </c>
      <c r="B117" s="18">
        <f>ROUND(B116*H37,2)</f>
        <v>175.57</v>
      </c>
      <c r="C117" s="19">
        <f>ROUND(C116*H37,2)</f>
        <v>143.97</v>
      </c>
      <c r="D117" s="20">
        <f>ROUND(D116*H37,2)</f>
        <v>31.6</v>
      </c>
      <c r="E117" s="21">
        <f t="shared" ref="E117:E122" si="56">SUM(C117:D117)</f>
        <v>175.57</v>
      </c>
      <c r="G117" s="60"/>
      <c r="H117" s="60"/>
      <c r="I117" s="60"/>
      <c r="J117" s="60"/>
    </row>
    <row r="118" spans="1:18" x14ac:dyDescent="0.3">
      <c r="A118" s="29" t="s">
        <v>42</v>
      </c>
      <c r="B118" s="18">
        <v>447.84</v>
      </c>
      <c r="C118" s="19">
        <f>B118*C115</f>
        <v>367.22879999999998</v>
      </c>
      <c r="D118" s="20">
        <f>B118*D115</f>
        <v>80.611199999999997</v>
      </c>
      <c r="E118" s="21">
        <f t="shared" si="56"/>
        <v>447.84</v>
      </c>
      <c r="G118" s="60"/>
      <c r="H118" s="60"/>
      <c r="I118" s="60"/>
      <c r="J118" s="60"/>
    </row>
    <row r="119" spans="1:18" x14ac:dyDescent="0.3">
      <c r="A119" s="29" t="s">
        <v>44</v>
      </c>
      <c r="B119" s="36">
        <f>ROUND(B116*H38,2)</f>
        <v>447.71</v>
      </c>
      <c r="C119" s="37">
        <f>ROUND(C116*H38,2)</f>
        <v>367.12</v>
      </c>
      <c r="D119" s="38">
        <f>ROUND(D116*H38,2)</f>
        <v>80.59</v>
      </c>
      <c r="E119" s="21">
        <f t="shared" si="56"/>
        <v>447.71000000000004</v>
      </c>
      <c r="G119" s="60"/>
      <c r="H119" s="60"/>
      <c r="I119" s="60"/>
      <c r="J119" s="60"/>
    </row>
    <row r="120" spans="1:18" x14ac:dyDescent="0.3">
      <c r="A120" s="29" t="s">
        <v>46</v>
      </c>
      <c r="B120" s="36">
        <v>699.12</v>
      </c>
      <c r="C120" s="37">
        <f>B120*C115</f>
        <v>573.27839999999992</v>
      </c>
      <c r="D120" s="38">
        <f>B120*D115</f>
        <v>125.8416</v>
      </c>
      <c r="E120" s="21">
        <f t="shared" si="56"/>
        <v>699.11999999999989</v>
      </c>
      <c r="G120" s="60"/>
      <c r="H120" s="60"/>
      <c r="I120" s="60"/>
      <c r="J120" s="60"/>
    </row>
    <row r="121" spans="1:18" x14ac:dyDescent="0.3">
      <c r="A121" s="29" t="s">
        <v>87</v>
      </c>
      <c r="B121" s="36">
        <v>705.38</v>
      </c>
      <c r="C121" s="37">
        <f>B121*C115</f>
        <v>578.41159999999991</v>
      </c>
      <c r="D121" s="38">
        <f>B121*D115</f>
        <v>126.96839999999999</v>
      </c>
      <c r="E121" s="21">
        <f t="shared" si="56"/>
        <v>705.37999999999988</v>
      </c>
      <c r="G121" s="60"/>
      <c r="H121" s="60"/>
      <c r="I121" s="60"/>
      <c r="J121" s="60"/>
    </row>
    <row r="122" spans="1:18" ht="15" thickBot="1" x14ac:dyDescent="0.35">
      <c r="A122" s="29" t="s">
        <v>88</v>
      </c>
      <c r="B122" s="61">
        <f>ROUND(B116*14.5*0.01,2)</f>
        <v>848.59</v>
      </c>
      <c r="C122" s="62">
        <f t="shared" ref="C122:D122" si="57">ROUND(C116*14.5*0.01,2)</f>
        <v>695.85</v>
      </c>
      <c r="D122" s="63">
        <f t="shared" si="57"/>
        <v>152.75</v>
      </c>
      <c r="E122" s="21">
        <f t="shared" si="56"/>
        <v>848.6</v>
      </c>
      <c r="G122" s="60"/>
      <c r="H122" s="60"/>
      <c r="I122" s="60"/>
      <c r="J122" s="60"/>
    </row>
    <row r="123" spans="1:18" ht="15" thickBot="1" x14ac:dyDescent="0.35">
      <c r="A123" s="46" t="s">
        <v>51</v>
      </c>
      <c r="B123" s="47">
        <f>SUM(B117:B120)</f>
        <v>1770.2399999999998</v>
      </c>
      <c r="C123" s="48"/>
      <c r="D123" s="49"/>
      <c r="E123" s="50"/>
      <c r="G123" s="60"/>
      <c r="H123" s="60"/>
      <c r="I123" s="60"/>
      <c r="J123" s="60"/>
    </row>
    <row r="124" spans="1:18" ht="15" thickBot="1" x14ac:dyDescent="0.35">
      <c r="A124" s="51" t="s">
        <v>52</v>
      </c>
      <c r="B124" s="52">
        <f>B116-B123</f>
        <v>4082.12</v>
      </c>
      <c r="C124" s="53"/>
      <c r="D124" s="54"/>
      <c r="E124" s="55"/>
      <c r="G124" s="60"/>
      <c r="H124" s="60"/>
      <c r="I124" s="60"/>
      <c r="J124" s="60"/>
    </row>
    <row r="125" spans="1:18" ht="15" thickBot="1" x14ac:dyDescent="0.35">
      <c r="A125" s="39" t="s">
        <v>49</v>
      </c>
      <c r="B125" s="56">
        <f>SUM(B116+B118+B121+B122)</f>
        <v>7854.17</v>
      </c>
      <c r="C125" s="56">
        <f t="shared" ref="C125:E125" si="58">SUM(C116+C118+C121+C122)</f>
        <v>6440.4303999999993</v>
      </c>
      <c r="D125" s="56">
        <f t="shared" si="58"/>
        <v>1413.7496000000001</v>
      </c>
      <c r="E125" s="56">
        <f t="shared" si="58"/>
        <v>7854.18</v>
      </c>
      <c r="G125" s="60"/>
      <c r="H125" s="60"/>
      <c r="I125" s="60"/>
      <c r="J125" s="60"/>
    </row>
    <row r="126" spans="1:18" ht="15" thickBot="1" x14ac:dyDescent="0.35">
      <c r="A126" s="59"/>
      <c r="B126" s="60"/>
      <c r="C126" s="60"/>
      <c r="D126" s="60"/>
      <c r="G126" s="60"/>
      <c r="H126" s="60"/>
      <c r="I126" s="60"/>
      <c r="J126" s="60"/>
    </row>
    <row r="127" spans="1:18" x14ac:dyDescent="0.3">
      <c r="A127" s="706" t="s">
        <v>89</v>
      </c>
      <c r="B127" s="708" t="s">
        <v>34</v>
      </c>
      <c r="C127" s="15" t="s">
        <v>35</v>
      </c>
      <c r="D127" s="16" t="s">
        <v>36</v>
      </c>
      <c r="E127" s="8" t="s">
        <v>37</v>
      </c>
      <c r="G127" s="60"/>
      <c r="H127" s="60"/>
      <c r="I127" s="60"/>
      <c r="J127" s="60"/>
    </row>
    <row r="128" spans="1:18" ht="15" thickBot="1" x14ac:dyDescent="0.35">
      <c r="A128" s="707"/>
      <c r="B128" s="709"/>
      <c r="C128" s="22">
        <v>0.91</v>
      </c>
      <c r="D128" s="23">
        <v>0.09</v>
      </c>
      <c r="E128" s="24"/>
      <c r="G128" s="60"/>
      <c r="H128" s="60"/>
      <c r="I128" s="60"/>
      <c r="J128" s="60"/>
    </row>
    <row r="129" spans="1:10" x14ac:dyDescent="0.3">
      <c r="A129" s="25" t="s">
        <v>90</v>
      </c>
      <c r="B129" s="26">
        <v>21641.27</v>
      </c>
      <c r="C129" s="27">
        <f>ROUND(B129*C128,2)</f>
        <v>19693.560000000001</v>
      </c>
      <c r="D129" s="28">
        <f>ROUND(B129*D128,2)</f>
        <v>1947.71</v>
      </c>
      <c r="E129" s="14">
        <f>C129+D129</f>
        <v>21641.27</v>
      </c>
      <c r="G129" s="60"/>
      <c r="H129" s="60"/>
      <c r="I129" s="60"/>
      <c r="J129" s="60"/>
    </row>
    <row r="130" spans="1:10" x14ac:dyDescent="0.3">
      <c r="A130" s="29" t="s">
        <v>41</v>
      </c>
      <c r="B130" s="18">
        <v>0</v>
      </c>
      <c r="C130" s="19">
        <v>0</v>
      </c>
      <c r="D130" s="20">
        <v>0</v>
      </c>
      <c r="E130" s="21">
        <f t="shared" ref="E130:E135" si="59">SUM(C130:D130)</f>
        <v>0</v>
      </c>
      <c r="G130" s="60"/>
      <c r="H130" s="60"/>
      <c r="I130" s="60"/>
      <c r="J130" s="60"/>
    </row>
    <row r="131" spans="1:10" x14ac:dyDescent="0.3">
      <c r="A131" s="29" t="s">
        <v>42</v>
      </c>
      <c r="B131" s="18">
        <v>1306.68</v>
      </c>
      <c r="C131" s="19">
        <f>B131*C128</f>
        <v>1189.0788</v>
      </c>
      <c r="D131" s="20">
        <f>B131*D128</f>
        <v>117.60120000000001</v>
      </c>
      <c r="E131" s="21">
        <f t="shared" si="59"/>
        <v>1306.68</v>
      </c>
      <c r="G131" s="60"/>
      <c r="H131" s="60"/>
      <c r="I131" s="60"/>
      <c r="J131" s="60"/>
    </row>
    <row r="132" spans="1:10" x14ac:dyDescent="0.3">
      <c r="A132" s="29" t="s">
        <v>44</v>
      </c>
      <c r="B132" s="36">
        <f>ROUND(B129*H38,2)</f>
        <v>1655.56</v>
      </c>
      <c r="C132" s="37">
        <f>ROUND(C129*H38,2)</f>
        <v>1506.56</v>
      </c>
      <c r="D132" s="38">
        <f>ROUND(D129*H38,2)</f>
        <v>149</v>
      </c>
      <c r="E132" s="21">
        <f t="shared" si="59"/>
        <v>1655.56</v>
      </c>
      <c r="G132" s="60"/>
      <c r="H132" s="60"/>
      <c r="I132" s="60"/>
      <c r="J132" s="60"/>
    </row>
    <row r="133" spans="1:10" x14ac:dyDescent="0.3">
      <c r="A133" s="29" t="s">
        <v>46</v>
      </c>
      <c r="B133" s="36">
        <v>6793.72</v>
      </c>
      <c r="C133" s="37">
        <f>B133*C128</f>
        <v>6182.2852000000003</v>
      </c>
      <c r="D133" s="38">
        <f>B133*D128</f>
        <v>611.4348</v>
      </c>
      <c r="E133" s="21">
        <f t="shared" si="59"/>
        <v>6793.72</v>
      </c>
      <c r="G133" s="60"/>
      <c r="H133" s="60"/>
      <c r="I133" s="60"/>
      <c r="J133" s="60"/>
    </row>
    <row r="134" spans="1:10" x14ac:dyDescent="0.3">
      <c r="A134" s="29" t="s">
        <v>87</v>
      </c>
      <c r="B134" s="36">
        <v>1303.8</v>
      </c>
      <c r="C134" s="37">
        <f>B134*C128</f>
        <v>1186.4580000000001</v>
      </c>
      <c r="D134" s="38">
        <f>B134*D128</f>
        <v>117.34199999999998</v>
      </c>
      <c r="E134" s="21">
        <f t="shared" si="59"/>
        <v>1303.8000000000002</v>
      </c>
      <c r="G134" s="60"/>
      <c r="H134" s="60"/>
      <c r="I134" s="60"/>
      <c r="J134" s="60"/>
    </row>
    <row r="135" spans="1:10" ht="15" thickBot="1" x14ac:dyDescent="0.35">
      <c r="A135" s="41" t="s">
        <v>88</v>
      </c>
      <c r="B135" s="61">
        <f>ROUND(B129*14.5*0.01,2)</f>
        <v>3137.98</v>
      </c>
      <c r="C135" s="62">
        <f t="shared" ref="C135:D135" si="60">ROUND(C129*14.5*0.01,2)</f>
        <v>2855.57</v>
      </c>
      <c r="D135" s="63">
        <f t="shared" si="60"/>
        <v>282.42</v>
      </c>
      <c r="E135" s="68">
        <f t="shared" si="59"/>
        <v>3137.9900000000002</v>
      </c>
      <c r="G135" s="60"/>
      <c r="H135" s="60"/>
      <c r="I135" s="60"/>
      <c r="J135" s="60"/>
    </row>
    <row r="136" spans="1:10" ht="15" thickBot="1" x14ac:dyDescent="0.35">
      <c r="A136" s="46" t="s">
        <v>51</v>
      </c>
      <c r="B136" s="47">
        <f>SUM(B130:B133)</f>
        <v>9755.9599999999991</v>
      </c>
      <c r="C136" s="48"/>
      <c r="D136" s="49"/>
      <c r="E136" s="50"/>
      <c r="G136" s="60"/>
      <c r="H136" s="60"/>
      <c r="I136" s="60"/>
      <c r="J136" s="60"/>
    </row>
    <row r="137" spans="1:10" ht="15" thickBot="1" x14ac:dyDescent="0.35">
      <c r="A137" s="51" t="s">
        <v>52</v>
      </c>
      <c r="B137" s="52">
        <f>B129-B136</f>
        <v>11885.310000000001</v>
      </c>
      <c r="C137" s="53"/>
      <c r="D137" s="54"/>
      <c r="E137" s="55"/>
      <c r="G137" s="60"/>
      <c r="H137" s="60"/>
      <c r="I137" s="60"/>
      <c r="J137" s="60"/>
    </row>
    <row r="138" spans="1:10" ht="15" thickBot="1" x14ac:dyDescent="0.35">
      <c r="A138" s="39" t="s">
        <v>49</v>
      </c>
      <c r="B138" s="56">
        <f>SUM(B129+B131+B134+B135)</f>
        <v>27389.73</v>
      </c>
      <c r="C138" s="56">
        <f t="shared" ref="C138:E138" si="61">SUM(C129+C131+C134+C135)</f>
        <v>24924.666799999999</v>
      </c>
      <c r="D138" s="56">
        <f t="shared" si="61"/>
        <v>2465.0732000000003</v>
      </c>
      <c r="E138" s="56">
        <f t="shared" si="61"/>
        <v>27389.74</v>
      </c>
      <c r="G138" s="60"/>
      <c r="H138" s="60"/>
      <c r="I138" s="60"/>
      <c r="J138" s="60"/>
    </row>
    <row r="139" spans="1:10" ht="15" thickBot="1" x14ac:dyDescent="0.35">
      <c r="A139" s="59"/>
      <c r="B139" s="60"/>
      <c r="C139" s="60"/>
      <c r="D139" s="60"/>
      <c r="G139" s="60"/>
      <c r="H139" s="60"/>
      <c r="I139" s="60"/>
      <c r="J139" s="60"/>
    </row>
    <row r="140" spans="1:10" x14ac:dyDescent="0.3">
      <c r="A140" s="706" t="s">
        <v>91</v>
      </c>
      <c r="B140" s="708" t="s">
        <v>34</v>
      </c>
      <c r="C140" s="15" t="s">
        <v>35</v>
      </c>
      <c r="D140" s="16" t="s">
        <v>36</v>
      </c>
      <c r="E140" s="8" t="s">
        <v>37</v>
      </c>
      <c r="G140" s="60"/>
      <c r="H140" s="60"/>
      <c r="I140" s="60"/>
      <c r="J140" s="60"/>
    </row>
    <row r="141" spans="1:10" ht="15" thickBot="1" x14ac:dyDescent="0.35">
      <c r="A141" s="707"/>
      <c r="B141" s="709"/>
      <c r="C141" s="22">
        <v>0.92</v>
      </c>
      <c r="D141" s="23">
        <v>0.08</v>
      </c>
      <c r="E141" s="24"/>
      <c r="G141" s="60"/>
      <c r="H141" s="60"/>
      <c r="I141" s="60"/>
      <c r="J141" s="60"/>
    </row>
    <row r="142" spans="1:10" x14ac:dyDescent="0.3">
      <c r="A142" s="25" t="s">
        <v>92</v>
      </c>
      <c r="B142" s="26">
        <v>2363.14</v>
      </c>
      <c r="C142" s="27">
        <f>ROUND(B142*C141,2)</f>
        <v>2174.09</v>
      </c>
      <c r="D142" s="28">
        <f>ROUND(B142*D141,2)</f>
        <v>189.05</v>
      </c>
      <c r="E142" s="14">
        <f>C142+D142</f>
        <v>2363.1400000000003</v>
      </c>
      <c r="G142" s="60"/>
      <c r="H142" s="60"/>
      <c r="I142" s="60"/>
      <c r="J142" s="60"/>
    </row>
    <row r="143" spans="1:10" x14ac:dyDescent="0.3">
      <c r="A143" s="29" t="s">
        <v>41</v>
      </c>
      <c r="B143" s="18">
        <v>0</v>
      </c>
      <c r="C143" s="19">
        <v>0</v>
      </c>
      <c r="D143" s="20">
        <v>0</v>
      </c>
      <c r="E143" s="21">
        <f t="shared" ref="E143:E148" si="62">SUM(C143:D143)</f>
        <v>0</v>
      </c>
      <c r="G143" s="60"/>
      <c r="H143" s="60"/>
      <c r="I143" s="60"/>
      <c r="J143" s="60"/>
    </row>
    <row r="144" spans="1:10" x14ac:dyDescent="0.3">
      <c r="A144" s="29" t="s">
        <v>93</v>
      </c>
      <c r="B144" s="18">
        <v>0</v>
      </c>
      <c r="C144" s="19">
        <v>0</v>
      </c>
      <c r="D144" s="20">
        <v>0</v>
      </c>
      <c r="E144" s="21"/>
      <c r="G144" s="60"/>
      <c r="H144" s="60"/>
      <c r="I144" s="60"/>
      <c r="J144" s="60"/>
    </row>
    <row r="145" spans="1:10" x14ac:dyDescent="0.3">
      <c r="A145" s="29" t="s">
        <v>44</v>
      </c>
      <c r="B145" s="36">
        <f>ROUND(B142*H38,2)</f>
        <v>180.78</v>
      </c>
      <c r="C145" s="37">
        <f>ROUND(C142*H38,2)</f>
        <v>166.32</v>
      </c>
      <c r="D145" s="38">
        <f>ROUND(D142*H38,2)</f>
        <v>14.46</v>
      </c>
      <c r="E145" s="21">
        <f t="shared" si="62"/>
        <v>180.78</v>
      </c>
      <c r="G145" s="60"/>
      <c r="H145" s="60"/>
      <c r="I145" s="60"/>
      <c r="J145" s="60"/>
    </row>
    <row r="146" spans="1:10" x14ac:dyDescent="0.3">
      <c r="A146" s="29" t="s">
        <v>46</v>
      </c>
      <c r="B146" s="36">
        <v>185.33</v>
      </c>
      <c r="C146" s="37">
        <f>B146*C141</f>
        <v>170.50360000000001</v>
      </c>
      <c r="D146" s="38">
        <f>B146*D141</f>
        <v>14.826400000000001</v>
      </c>
      <c r="E146" s="21">
        <f t="shared" si="62"/>
        <v>185.33</v>
      </c>
      <c r="G146" s="60"/>
      <c r="H146" s="60"/>
      <c r="I146" s="60"/>
      <c r="J146" s="60"/>
    </row>
    <row r="147" spans="1:10" x14ac:dyDescent="0.3">
      <c r="A147" s="29" t="s">
        <v>87</v>
      </c>
      <c r="B147" s="36">
        <v>0</v>
      </c>
      <c r="C147" s="37">
        <v>0</v>
      </c>
      <c r="D147" s="38">
        <v>0</v>
      </c>
      <c r="E147" s="21">
        <f t="shared" si="62"/>
        <v>0</v>
      </c>
      <c r="G147" s="60"/>
      <c r="H147" s="60"/>
      <c r="I147" s="60"/>
      <c r="J147" s="60"/>
    </row>
    <row r="148" spans="1:10" ht="15" thickBot="1" x14ac:dyDescent="0.35">
      <c r="A148" s="29" t="s">
        <v>88</v>
      </c>
      <c r="B148" s="36">
        <f>ROUND(B142*14.5*0.01,2)</f>
        <v>342.66</v>
      </c>
      <c r="C148" s="37">
        <f t="shared" ref="C148:D148" si="63">ROUND(C142*14.5*0.01,2)</f>
        <v>315.24</v>
      </c>
      <c r="D148" s="38">
        <f t="shared" si="63"/>
        <v>27.41</v>
      </c>
      <c r="E148" s="21">
        <f t="shared" si="62"/>
        <v>342.65000000000003</v>
      </c>
      <c r="G148" s="60"/>
      <c r="H148" s="60"/>
      <c r="I148" s="60"/>
      <c r="J148" s="60"/>
    </row>
    <row r="149" spans="1:10" ht="15" thickBot="1" x14ac:dyDescent="0.35">
      <c r="A149" s="46" t="s">
        <v>51</v>
      </c>
      <c r="B149" s="47">
        <f>SUM(B143:B146)</f>
        <v>366.11</v>
      </c>
      <c r="C149" s="48"/>
      <c r="D149" s="49"/>
      <c r="E149" s="50"/>
      <c r="G149" s="60"/>
      <c r="H149" s="60"/>
      <c r="I149" s="60"/>
      <c r="J149" s="60"/>
    </row>
    <row r="150" spans="1:10" ht="15" thickBot="1" x14ac:dyDescent="0.35">
      <c r="A150" s="51" t="s">
        <v>52</v>
      </c>
      <c r="B150" s="52">
        <f>B142-B149</f>
        <v>1997.0299999999997</v>
      </c>
      <c r="C150" s="53"/>
      <c r="D150" s="54"/>
      <c r="E150" s="55"/>
      <c r="G150" s="60"/>
      <c r="H150" s="60"/>
      <c r="I150" s="60"/>
      <c r="J150" s="60"/>
    </row>
    <row r="151" spans="1:10" ht="15" thickBot="1" x14ac:dyDescent="0.35">
      <c r="A151" s="39" t="s">
        <v>49</v>
      </c>
      <c r="B151" s="56">
        <f>SUM(B142+B144+B147+B148)</f>
        <v>2705.7999999999997</v>
      </c>
      <c r="C151" s="56">
        <f t="shared" ref="C151:E151" si="64">SUM(C142+C144+C147+C148)</f>
        <v>2489.33</v>
      </c>
      <c r="D151" s="56">
        <f t="shared" si="64"/>
        <v>216.46</v>
      </c>
      <c r="E151" s="56">
        <f t="shared" si="64"/>
        <v>2705.7900000000004</v>
      </c>
      <c r="G151" s="60"/>
      <c r="H151" s="60"/>
      <c r="I151" s="60"/>
      <c r="J151" s="60"/>
    </row>
    <row r="152" spans="1:10" ht="15" thickBot="1" x14ac:dyDescent="0.35">
      <c r="A152" s="59"/>
      <c r="B152" s="60"/>
      <c r="C152" s="60"/>
      <c r="D152" s="60"/>
      <c r="G152" s="60"/>
      <c r="H152" s="60"/>
      <c r="I152" s="60"/>
      <c r="J152" s="60"/>
    </row>
    <row r="153" spans="1:10" x14ac:dyDescent="0.3">
      <c r="A153" s="706" t="s">
        <v>94</v>
      </c>
      <c r="B153" s="708" t="s">
        <v>34</v>
      </c>
      <c r="C153" s="15" t="s">
        <v>35</v>
      </c>
      <c r="D153" s="16" t="s">
        <v>36</v>
      </c>
      <c r="E153" s="8" t="s">
        <v>37</v>
      </c>
      <c r="G153" s="60"/>
      <c r="H153" s="60"/>
      <c r="I153" s="60"/>
      <c r="J153" s="60"/>
    </row>
    <row r="154" spans="1:10" ht="15" thickBot="1" x14ac:dyDescent="0.35">
      <c r="A154" s="707"/>
      <c r="B154" s="709"/>
      <c r="C154" s="22">
        <v>0.5</v>
      </c>
      <c r="D154" s="23">
        <v>0.5</v>
      </c>
      <c r="E154" s="24"/>
      <c r="G154" s="60"/>
      <c r="H154" s="60"/>
      <c r="I154" s="60"/>
      <c r="J154" s="60"/>
    </row>
    <row r="155" spans="1:10" x14ac:dyDescent="0.3">
      <c r="A155" s="25" t="s">
        <v>95</v>
      </c>
      <c r="B155" s="26">
        <v>459.31</v>
      </c>
      <c r="C155" s="27">
        <f>ROUND(B155*C154,2)</f>
        <v>229.66</v>
      </c>
      <c r="D155" s="28">
        <f>ROUND(B155*D154,2)</f>
        <v>229.66</v>
      </c>
      <c r="E155" s="14">
        <f>C155+D155</f>
        <v>459.32</v>
      </c>
      <c r="G155" s="60"/>
      <c r="H155" s="60"/>
      <c r="I155" s="60"/>
      <c r="J155" s="60"/>
    </row>
    <row r="156" spans="1:10" x14ac:dyDescent="0.3">
      <c r="A156" s="29" t="s">
        <v>41</v>
      </c>
      <c r="B156" s="18">
        <v>0</v>
      </c>
      <c r="C156" s="19">
        <v>0</v>
      </c>
      <c r="D156" s="20">
        <v>0</v>
      </c>
      <c r="E156" s="21">
        <f t="shared" ref="E156:E161" si="65">SUM(C156:D156)</f>
        <v>0</v>
      </c>
      <c r="G156" s="60"/>
      <c r="H156" s="60"/>
      <c r="I156" s="60"/>
      <c r="J156" s="60"/>
    </row>
    <row r="157" spans="1:10" x14ac:dyDescent="0.3">
      <c r="A157" s="29" t="s">
        <v>42</v>
      </c>
      <c r="B157" s="18">
        <v>0</v>
      </c>
      <c r="C157" s="19">
        <v>0</v>
      </c>
      <c r="D157" s="20">
        <v>0</v>
      </c>
      <c r="E157" s="21"/>
      <c r="G157" s="60"/>
      <c r="H157" s="60"/>
      <c r="I157" s="60"/>
      <c r="J157" s="60"/>
    </row>
    <row r="158" spans="1:10" x14ac:dyDescent="0.3">
      <c r="A158" s="29" t="s">
        <v>44</v>
      </c>
      <c r="B158" s="36">
        <f>ROUND(B155*H38,2)</f>
        <v>35.14</v>
      </c>
      <c r="C158" s="37">
        <f>ROUND(C155*H38,2)</f>
        <v>17.57</v>
      </c>
      <c r="D158" s="38">
        <f>ROUND(D155*H38,2)</f>
        <v>17.57</v>
      </c>
      <c r="E158" s="21">
        <f t="shared" si="65"/>
        <v>35.14</v>
      </c>
      <c r="G158" s="60"/>
      <c r="H158" s="60"/>
      <c r="I158" s="60"/>
      <c r="J158" s="60"/>
    </row>
    <row r="159" spans="1:10" x14ac:dyDescent="0.3">
      <c r="A159" s="29" t="s">
        <v>46</v>
      </c>
      <c r="B159" s="36">
        <v>5.93</v>
      </c>
      <c r="C159" s="37">
        <f>B159*C154</f>
        <v>2.9649999999999999</v>
      </c>
      <c r="D159" s="38">
        <f>B159*D154</f>
        <v>2.9649999999999999</v>
      </c>
      <c r="E159" s="21">
        <f t="shared" si="65"/>
        <v>5.93</v>
      </c>
      <c r="G159" s="60"/>
      <c r="H159" s="60"/>
      <c r="I159" s="60"/>
      <c r="J159" s="60"/>
    </row>
    <row r="160" spans="1:10" x14ac:dyDescent="0.3">
      <c r="A160" s="29" t="s">
        <v>87</v>
      </c>
      <c r="B160" s="36">
        <v>0</v>
      </c>
      <c r="C160" s="37">
        <v>0</v>
      </c>
      <c r="D160" s="38">
        <v>0</v>
      </c>
      <c r="E160" s="21">
        <f t="shared" si="65"/>
        <v>0</v>
      </c>
      <c r="G160" s="60"/>
      <c r="H160" s="60"/>
      <c r="I160" s="60"/>
      <c r="J160" s="60"/>
    </row>
    <row r="161" spans="1:10" ht="15" thickBot="1" x14ac:dyDescent="0.35">
      <c r="A161" s="29" t="s">
        <v>88</v>
      </c>
      <c r="B161" s="36">
        <f>ROUND(B155*14.5*0.01,2)</f>
        <v>66.599999999999994</v>
      </c>
      <c r="C161" s="37">
        <f t="shared" ref="C161:D161" si="66">ROUND(C155*14.5*0.01,2)</f>
        <v>33.299999999999997</v>
      </c>
      <c r="D161" s="38">
        <f t="shared" si="66"/>
        <v>33.299999999999997</v>
      </c>
      <c r="E161" s="21">
        <f t="shared" si="65"/>
        <v>66.599999999999994</v>
      </c>
      <c r="G161" s="60"/>
      <c r="H161" s="60"/>
      <c r="I161" s="60"/>
      <c r="J161" s="60"/>
    </row>
    <row r="162" spans="1:10" ht="15" thickBot="1" x14ac:dyDescent="0.35">
      <c r="A162" s="46" t="s">
        <v>51</v>
      </c>
      <c r="B162" s="47">
        <f>SUM(B156:B159)</f>
        <v>41.07</v>
      </c>
      <c r="C162" s="48"/>
      <c r="D162" s="49"/>
      <c r="E162" s="50"/>
      <c r="G162" s="60"/>
      <c r="H162" s="60"/>
      <c r="I162" s="60"/>
      <c r="J162" s="60"/>
    </row>
    <row r="163" spans="1:10" ht="15" thickBot="1" x14ac:dyDescent="0.35">
      <c r="A163" s="51" t="s">
        <v>52</v>
      </c>
      <c r="B163" s="52">
        <f>B155-B162</f>
        <v>418.24</v>
      </c>
      <c r="C163" s="53"/>
      <c r="D163" s="54"/>
      <c r="E163" s="55"/>
      <c r="G163" s="60"/>
      <c r="H163" s="60"/>
      <c r="I163" s="60"/>
      <c r="J163" s="60"/>
    </row>
    <row r="164" spans="1:10" ht="15" thickBot="1" x14ac:dyDescent="0.35">
      <c r="A164" s="39" t="s">
        <v>49</v>
      </c>
      <c r="B164" s="56">
        <f>SUM(B155+B157+B160+B161)</f>
        <v>525.91</v>
      </c>
      <c r="C164" s="56">
        <f t="shared" ref="C164:E164" si="67">SUM(C155+C157+C160+C161)</f>
        <v>262.95999999999998</v>
      </c>
      <c r="D164" s="56">
        <f t="shared" si="67"/>
        <v>262.95999999999998</v>
      </c>
      <c r="E164" s="56">
        <f t="shared" si="67"/>
        <v>525.91999999999996</v>
      </c>
      <c r="G164" s="60"/>
      <c r="H164" s="60"/>
      <c r="I164" s="60"/>
      <c r="J164" s="60"/>
    </row>
  </sheetData>
  <mergeCells count="43">
    <mergeCell ref="I44:J44"/>
    <mergeCell ref="A127:A128"/>
    <mergeCell ref="B127:B128"/>
    <mergeCell ref="A140:A141"/>
    <mergeCell ref="B140:B141"/>
    <mergeCell ref="A46:A47"/>
    <mergeCell ref="B46:B47"/>
    <mergeCell ref="A60:A61"/>
    <mergeCell ref="B60:B61"/>
    <mergeCell ref="A74:A75"/>
    <mergeCell ref="B74:B75"/>
    <mergeCell ref="A153:A154"/>
    <mergeCell ref="B153:B154"/>
    <mergeCell ref="A88:A89"/>
    <mergeCell ref="B88:B89"/>
    <mergeCell ref="A101:A102"/>
    <mergeCell ref="B101:B102"/>
    <mergeCell ref="A114:A115"/>
    <mergeCell ref="B114:B115"/>
    <mergeCell ref="A32:A33"/>
    <mergeCell ref="B32:B33"/>
    <mergeCell ref="A1:D2"/>
    <mergeCell ref="A3:A4"/>
    <mergeCell ref="B3:B4"/>
    <mergeCell ref="A17:A18"/>
    <mergeCell ref="B17:B18"/>
    <mergeCell ref="O1:R2"/>
    <mergeCell ref="O3:O4"/>
    <mergeCell ref="P3:P4"/>
    <mergeCell ref="O17:O18"/>
    <mergeCell ref="P17:P18"/>
    <mergeCell ref="O33:O34"/>
    <mergeCell ref="P33:P34"/>
    <mergeCell ref="O48:O49"/>
    <mergeCell ref="P48:P49"/>
    <mergeCell ref="O63:O64"/>
    <mergeCell ref="P63:P64"/>
    <mergeCell ref="O78:O79"/>
    <mergeCell ref="P78:P79"/>
    <mergeCell ref="O92:O93"/>
    <mergeCell ref="P92:P93"/>
    <mergeCell ref="O106:O107"/>
    <mergeCell ref="P106:P107"/>
  </mergeCells>
  <pageMargins left="0.7" right="0.7" top="0.75" bottom="0.75" header="0.3" footer="0.3"/>
  <pageSetup paperSize="3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499984740745262"/>
    <pageSetUpPr fitToPage="1"/>
  </sheetPr>
  <dimension ref="A1:CS439"/>
  <sheetViews>
    <sheetView showGridLines="0" tabSelected="1" zoomScale="120" zoomScaleNormal="120" workbookViewId="0">
      <pane ySplit="1" topLeftCell="A2" activePane="bottomLeft" state="frozen"/>
      <selection pane="bottomLeft" activeCell="C5" sqref="C5"/>
    </sheetView>
  </sheetViews>
  <sheetFormatPr defaultColWidth="11.44140625" defaultRowHeight="23.4" outlineLevelRow="1" outlineLevelCol="2" x14ac:dyDescent="0.45"/>
  <cols>
    <col min="1" max="1" width="75.33203125" style="279" bestFit="1" customWidth="1"/>
    <col min="2" max="2" width="23" style="279" customWidth="1"/>
    <col min="3" max="3" width="21.6640625" style="279" bestFit="1" customWidth="1" outlineLevel="2"/>
    <col min="4" max="4" width="22.33203125" style="279" bestFit="1" customWidth="1" outlineLevel="1"/>
    <col min="5" max="5" width="19.33203125" style="457" bestFit="1" customWidth="1"/>
    <col min="6" max="6" width="24.44140625" style="279" hidden="1" customWidth="1" outlineLevel="1"/>
    <col min="7" max="7" width="21.33203125" style="279" hidden="1" customWidth="1" collapsed="1"/>
    <col min="8" max="8" width="22.88671875" style="402" customWidth="1"/>
    <col min="9" max="9" width="24.44140625" style="279" hidden="1" customWidth="1" outlineLevel="1"/>
    <col min="10" max="10" width="21.33203125" style="279" bestFit="1" customWidth="1" collapsed="1"/>
    <col min="11" max="11" width="22.88671875" style="279" customWidth="1"/>
    <col min="12" max="12" width="22.44140625" style="279" bestFit="1" customWidth="1"/>
    <col min="13" max="13" width="16.33203125" style="279" bestFit="1" customWidth="1"/>
    <col min="14" max="14" width="13.88671875" style="279" customWidth="1"/>
    <col min="15" max="15" width="14.44140625" style="279" customWidth="1"/>
    <col min="16" max="16" width="13.88671875" style="279" customWidth="1"/>
    <col min="17" max="16384" width="11.44140625" style="279"/>
  </cols>
  <sheetData>
    <row r="1" spans="1:97" s="273" customFormat="1" ht="51" customHeight="1" thickBot="1" x14ac:dyDescent="0.5">
      <c r="A1" s="269" t="s">
        <v>96</v>
      </c>
      <c r="B1" s="270"/>
      <c r="C1" s="271" t="s">
        <v>97</v>
      </c>
      <c r="D1" s="271" t="s">
        <v>98</v>
      </c>
      <c r="E1" s="733" t="s">
        <v>99</v>
      </c>
      <c r="F1" s="734"/>
      <c r="G1" s="581" t="s">
        <v>100</v>
      </c>
      <c r="H1" s="397" t="s">
        <v>101</v>
      </c>
      <c r="I1" s="392"/>
      <c r="J1" s="740" t="s">
        <v>102</v>
      </c>
      <c r="K1" s="741"/>
      <c r="L1" s="741"/>
      <c r="M1" s="741"/>
      <c r="N1" s="741"/>
      <c r="O1" s="741"/>
      <c r="P1" s="74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72"/>
      <c r="AU1" s="272"/>
      <c r="AV1" s="272"/>
      <c r="AW1" s="272"/>
      <c r="AX1" s="272"/>
      <c r="AY1" s="272"/>
      <c r="AZ1" s="272"/>
      <c r="BA1" s="272"/>
      <c r="BB1" s="272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  <c r="BT1" s="272"/>
      <c r="BU1" s="272"/>
      <c r="BV1" s="272"/>
      <c r="BW1" s="272"/>
      <c r="BX1" s="272"/>
      <c r="BY1" s="272"/>
      <c r="BZ1" s="272"/>
      <c r="CA1" s="272"/>
      <c r="CB1" s="272"/>
      <c r="CC1" s="272"/>
      <c r="CD1" s="272"/>
      <c r="CE1" s="272"/>
      <c r="CF1" s="272"/>
      <c r="CG1" s="272"/>
      <c r="CH1" s="272"/>
      <c r="CI1" s="272"/>
      <c r="CJ1" s="272"/>
      <c r="CK1" s="272"/>
      <c r="CL1" s="272"/>
      <c r="CM1" s="272"/>
      <c r="CN1" s="272"/>
      <c r="CO1" s="272"/>
      <c r="CP1" s="272"/>
      <c r="CQ1" s="272"/>
      <c r="CR1" s="272"/>
      <c r="CS1" s="272"/>
    </row>
    <row r="2" spans="1:97" ht="24.6" thickTop="1" thickBot="1" x14ac:dyDescent="0.5">
      <c r="A2" s="274" t="s">
        <v>103</v>
      </c>
      <c r="B2" s="275"/>
      <c r="C2" s="276"/>
      <c r="D2" s="276"/>
      <c r="E2" s="566"/>
      <c r="F2" s="277" t="s">
        <v>104</v>
      </c>
      <c r="G2" s="582"/>
      <c r="H2" s="400"/>
      <c r="I2" s="393"/>
      <c r="J2" s="439"/>
      <c r="K2" s="561" t="s">
        <v>105</v>
      </c>
      <c r="L2" s="440"/>
      <c r="M2" s="440"/>
      <c r="N2" s="272"/>
      <c r="O2" s="284"/>
      <c r="P2" s="454" t="s">
        <v>106</v>
      </c>
    </row>
    <row r="3" spans="1:97" s="273" customFormat="1" ht="24.6" thickTop="1" thickBot="1" x14ac:dyDescent="0.5">
      <c r="A3" s="280" t="s">
        <v>107</v>
      </c>
      <c r="B3" s="281"/>
      <c r="C3" s="282"/>
      <c r="D3" s="282"/>
      <c r="E3" s="731">
        <v>4.0199999999999996</v>
      </c>
      <c r="F3" s="732"/>
      <c r="G3" s="583"/>
      <c r="H3" s="398">
        <v>4.0199999999999996</v>
      </c>
      <c r="I3" s="284"/>
      <c r="J3" s="555">
        <v>3.6</v>
      </c>
      <c r="K3" s="562">
        <v>3.6898</v>
      </c>
      <c r="L3" s="556">
        <v>3.75</v>
      </c>
      <c r="M3" s="556">
        <v>3.95</v>
      </c>
      <c r="N3" s="556">
        <v>4.25</v>
      </c>
      <c r="O3" s="556">
        <v>4.5</v>
      </c>
      <c r="P3" s="557">
        <v>5</v>
      </c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72"/>
      <c r="AU3" s="272"/>
      <c r="AV3" s="272"/>
      <c r="AW3" s="272"/>
      <c r="AX3" s="272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2"/>
      <c r="CI3" s="272"/>
      <c r="CJ3" s="272"/>
      <c r="CK3" s="272"/>
      <c r="CL3" s="272"/>
      <c r="CM3" s="272"/>
      <c r="CN3" s="272"/>
      <c r="CO3" s="272"/>
      <c r="CP3" s="272"/>
      <c r="CQ3" s="272"/>
      <c r="CR3" s="272"/>
      <c r="CS3" s="272"/>
    </row>
    <row r="4" spans="1:97" ht="24.6" thickTop="1" thickBot="1" x14ac:dyDescent="0.5">
      <c r="A4" s="283"/>
      <c r="B4" s="284"/>
      <c r="C4" s="285"/>
      <c r="D4" s="286"/>
      <c r="E4" s="567"/>
      <c r="F4" s="287"/>
      <c r="G4" s="584"/>
      <c r="H4" s="401"/>
      <c r="I4" s="284"/>
      <c r="J4" s="558">
        <f t="shared" ref="J4:P4" si="0">$L$21*J3/1000</f>
        <v>333762.37919999997</v>
      </c>
      <c r="K4" s="563">
        <f t="shared" si="0"/>
        <v>342087.89632559998</v>
      </c>
      <c r="L4" s="559">
        <f t="shared" si="0"/>
        <v>347669.14500000002</v>
      </c>
      <c r="M4" s="559">
        <f>$L$21*M3/1000</f>
        <v>366211.49940000003</v>
      </c>
      <c r="N4" s="559">
        <f t="shared" si="0"/>
        <v>394025.03100000002</v>
      </c>
      <c r="O4" s="559">
        <f t="shared" si="0"/>
        <v>417202.97399999999</v>
      </c>
      <c r="P4" s="560">
        <f t="shared" si="0"/>
        <v>463558.86</v>
      </c>
    </row>
    <row r="5" spans="1:97" s="273" customFormat="1" ht="24.6" thickTop="1" thickBot="1" x14ac:dyDescent="0.5">
      <c r="A5" s="289" t="s">
        <v>108</v>
      </c>
      <c r="B5" s="290"/>
      <c r="C5" s="291">
        <f>Expenditures!H128</f>
        <v>2441790.9299999997</v>
      </c>
      <c r="D5" s="291">
        <f>C5</f>
        <v>2441790.9299999997</v>
      </c>
      <c r="E5" s="568"/>
      <c r="F5" s="292" t="e">
        <f>#REF!</f>
        <v>#REF!</v>
      </c>
      <c r="G5" s="585">
        <v>482219.99</v>
      </c>
      <c r="H5" s="409">
        <f>D5</f>
        <v>2441790.9299999997</v>
      </c>
      <c r="I5" s="394"/>
      <c r="J5" s="441"/>
      <c r="K5" s="442"/>
      <c r="L5" s="442"/>
      <c r="M5" s="442"/>
      <c r="N5" s="443"/>
      <c r="O5" s="272"/>
      <c r="P5" s="444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72"/>
      <c r="AU5" s="272"/>
      <c r="AV5" s="272"/>
      <c r="AW5" s="272"/>
      <c r="AX5" s="272"/>
      <c r="AY5" s="272"/>
      <c r="AZ5" s="272"/>
      <c r="BA5" s="272"/>
      <c r="BB5" s="272"/>
      <c r="BC5" s="272"/>
      <c r="BD5" s="272"/>
      <c r="BE5" s="272"/>
      <c r="BF5" s="272"/>
      <c r="BG5" s="272"/>
      <c r="BH5" s="272"/>
      <c r="BI5" s="272"/>
      <c r="BJ5" s="272"/>
      <c r="BK5" s="272"/>
      <c r="BL5" s="272"/>
      <c r="BM5" s="272"/>
      <c r="BN5" s="272"/>
      <c r="BO5" s="272"/>
      <c r="BP5" s="272"/>
      <c r="BQ5" s="272"/>
      <c r="BR5" s="272"/>
      <c r="BS5" s="272"/>
      <c r="BT5" s="272"/>
      <c r="BU5" s="272"/>
      <c r="BV5" s="272"/>
      <c r="BW5" s="272"/>
      <c r="BX5" s="272"/>
      <c r="BY5" s="272"/>
      <c r="BZ5" s="272"/>
      <c r="CA5" s="272"/>
      <c r="CB5" s="272"/>
      <c r="CC5" s="272"/>
      <c r="CD5" s="272"/>
      <c r="CE5" s="272"/>
      <c r="CF5" s="272"/>
      <c r="CG5" s="272"/>
      <c r="CH5" s="272"/>
      <c r="CI5" s="272"/>
      <c r="CJ5" s="272"/>
      <c r="CK5" s="272"/>
      <c r="CL5" s="272"/>
      <c r="CM5" s="272"/>
      <c r="CN5" s="272"/>
      <c r="CO5" s="272"/>
      <c r="CP5" s="272"/>
      <c r="CQ5" s="272"/>
      <c r="CR5" s="272"/>
      <c r="CS5" s="272"/>
    </row>
    <row r="6" spans="1:97" s="297" customFormat="1" ht="18" customHeight="1" thickTop="1" x14ac:dyDescent="0.45">
      <c r="A6" s="293"/>
      <c r="B6" s="294"/>
      <c r="C6" s="295"/>
      <c r="D6" s="295"/>
      <c r="E6" s="569"/>
      <c r="F6" s="296"/>
      <c r="G6" s="586"/>
      <c r="H6" s="399"/>
      <c r="I6" s="395"/>
      <c r="J6" s="445"/>
      <c r="K6" s="272"/>
      <c r="L6" s="272"/>
      <c r="M6" s="272"/>
      <c r="N6" s="272"/>
      <c r="O6" s="446"/>
      <c r="P6" s="447"/>
    </row>
    <row r="7" spans="1:97" s="273" customFormat="1" ht="24" thickBot="1" x14ac:dyDescent="0.5">
      <c r="A7" s="337" t="s">
        <v>8</v>
      </c>
      <c r="B7" s="338"/>
      <c r="C7" s="340">
        <f>C8</f>
        <v>317805.75</v>
      </c>
      <c r="D7" s="340">
        <f>D8</f>
        <v>317805.75</v>
      </c>
      <c r="E7" s="570">
        <f>E8</f>
        <v>315690</v>
      </c>
      <c r="F7" s="292" t="e">
        <f>F8</f>
        <v>#VALUE!</v>
      </c>
      <c r="G7" s="587">
        <f>E7</f>
        <v>315690</v>
      </c>
      <c r="H7" s="406">
        <f>ROUNDDOWN(SUM(H8),-2)</f>
        <v>372700</v>
      </c>
      <c r="I7" s="394"/>
      <c r="Q7" s="272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272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2"/>
      <c r="AS7" s="272"/>
      <c r="AT7" s="272"/>
      <c r="AU7" s="272"/>
      <c r="AV7" s="272"/>
      <c r="AW7" s="272"/>
      <c r="AX7" s="272"/>
      <c r="AY7" s="272"/>
      <c r="AZ7" s="272"/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2"/>
      <c r="CC7" s="272"/>
      <c r="CD7" s="272"/>
      <c r="CE7" s="272"/>
      <c r="CF7" s="272"/>
      <c r="CG7" s="272"/>
      <c r="CH7" s="272"/>
      <c r="CI7" s="272"/>
      <c r="CJ7" s="272"/>
      <c r="CK7" s="272"/>
      <c r="CL7" s="272"/>
      <c r="CM7" s="272"/>
      <c r="CN7" s="272"/>
      <c r="CO7" s="272"/>
      <c r="CP7" s="272"/>
      <c r="CQ7" s="272"/>
      <c r="CR7" s="272"/>
      <c r="CS7" s="272"/>
    </row>
    <row r="8" spans="1:97" s="298" customFormat="1" ht="26.1" customHeight="1" outlineLevel="1" thickTop="1" thickBot="1" x14ac:dyDescent="0.5">
      <c r="A8" s="341" t="s">
        <v>109</v>
      </c>
      <c r="B8" s="342"/>
      <c r="C8" s="498">
        <v>317805.75</v>
      </c>
      <c r="D8" s="499">
        <f>C8</f>
        <v>317805.75</v>
      </c>
      <c r="E8" s="571">
        <v>315690</v>
      </c>
      <c r="F8" s="577" t="e">
        <f>ROUNDUP(E1*L19/1000,-2)</f>
        <v>#VALUE!</v>
      </c>
      <c r="G8" s="588" t="e">
        <f>ROUNDUP(N19*G1/1000,-2)</f>
        <v>#VALUE!</v>
      </c>
      <c r="H8" s="650">
        <f>L21*H3/1000</f>
        <v>372701.32343999995</v>
      </c>
      <c r="I8" s="549">
        <f t="shared" ref="I8" si="1">E8-D8</f>
        <v>-2115.75</v>
      </c>
      <c r="J8" s="543"/>
      <c r="K8" s="448"/>
      <c r="L8" s="448"/>
      <c r="M8" s="448"/>
      <c r="N8" s="448"/>
      <c r="O8" s="449"/>
      <c r="P8" s="450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278"/>
      <c r="AQ8" s="278"/>
      <c r="AR8" s="278"/>
      <c r="AS8" s="278"/>
      <c r="AT8" s="278"/>
      <c r="AU8" s="278"/>
      <c r="AV8" s="278"/>
      <c r="AW8" s="278"/>
      <c r="AX8" s="278"/>
      <c r="AY8" s="278"/>
      <c r="AZ8" s="278"/>
      <c r="BA8" s="278"/>
      <c r="BB8" s="278"/>
      <c r="BC8" s="278"/>
      <c r="BD8" s="278"/>
      <c r="BE8" s="278"/>
      <c r="BF8" s="278"/>
      <c r="BG8" s="278"/>
      <c r="BH8" s="278"/>
      <c r="BI8" s="278"/>
      <c r="BJ8" s="278"/>
      <c r="BK8" s="278"/>
      <c r="BL8" s="278"/>
      <c r="BM8" s="278"/>
      <c r="BN8" s="278"/>
      <c r="BO8" s="278"/>
      <c r="BP8" s="278"/>
      <c r="BQ8" s="278"/>
      <c r="BR8" s="278"/>
      <c r="BS8" s="278"/>
      <c r="BT8" s="278"/>
      <c r="BU8" s="278"/>
      <c r="BV8" s="278"/>
      <c r="BW8" s="278"/>
      <c r="BX8" s="278"/>
      <c r="BY8" s="278"/>
      <c r="BZ8" s="278"/>
      <c r="CA8" s="278"/>
      <c r="CB8" s="278"/>
      <c r="CC8" s="278"/>
      <c r="CD8" s="278"/>
      <c r="CE8" s="278"/>
      <c r="CF8" s="278"/>
      <c r="CG8" s="278"/>
      <c r="CH8" s="278"/>
      <c r="CI8" s="278"/>
      <c r="CJ8" s="278"/>
      <c r="CK8" s="278"/>
      <c r="CL8" s="278"/>
      <c r="CM8" s="278"/>
      <c r="CN8" s="278"/>
      <c r="CO8" s="278"/>
      <c r="CP8" s="278"/>
      <c r="CQ8" s="278"/>
      <c r="CR8" s="278"/>
      <c r="CS8" s="278"/>
    </row>
    <row r="9" spans="1:97" s="273" customFormat="1" ht="24.6" thickTop="1" thickBot="1" x14ac:dyDescent="0.5">
      <c r="A9" s="337" t="s">
        <v>110</v>
      </c>
      <c r="B9" s="338"/>
      <c r="C9" s="340">
        <f>C10</f>
        <v>369380</v>
      </c>
      <c r="D9" s="340">
        <f>D10</f>
        <v>369380</v>
      </c>
      <c r="E9" s="570">
        <v>369380</v>
      </c>
      <c r="F9" s="292">
        <f>F10</f>
        <v>372800</v>
      </c>
      <c r="G9" s="587">
        <f>E9</f>
        <v>369380</v>
      </c>
      <c r="H9" s="406">
        <f>SUM(H10)</f>
        <v>369379.5</v>
      </c>
      <c r="I9" s="394"/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2"/>
      <c r="AI9" s="272"/>
      <c r="AJ9" s="272"/>
      <c r="AK9" s="272"/>
      <c r="AL9" s="272"/>
      <c r="AM9" s="272"/>
      <c r="AN9" s="272"/>
      <c r="AO9" s="272"/>
      <c r="AP9" s="272"/>
      <c r="AQ9" s="272"/>
      <c r="AR9" s="272"/>
      <c r="AS9" s="272"/>
      <c r="AT9" s="272"/>
      <c r="AU9" s="272"/>
      <c r="AV9" s="272"/>
      <c r="AW9" s="272"/>
      <c r="AX9" s="272"/>
      <c r="AY9" s="272"/>
      <c r="AZ9" s="272"/>
      <c r="BA9" s="272"/>
      <c r="BB9" s="272"/>
      <c r="BC9" s="272"/>
      <c r="BD9" s="272"/>
      <c r="BE9" s="272"/>
      <c r="BF9" s="272"/>
      <c r="BG9" s="272"/>
      <c r="BH9" s="272"/>
      <c r="BI9" s="272"/>
      <c r="BJ9" s="272"/>
      <c r="BK9" s="272"/>
      <c r="BL9" s="272"/>
      <c r="BM9" s="272"/>
      <c r="BN9" s="272"/>
      <c r="BO9" s="272"/>
      <c r="BP9" s="272"/>
      <c r="BQ9" s="272"/>
      <c r="BR9" s="272"/>
      <c r="BS9" s="272"/>
      <c r="BT9" s="272"/>
      <c r="BU9" s="272"/>
      <c r="BV9" s="272"/>
      <c r="BW9" s="272"/>
      <c r="BX9" s="272"/>
      <c r="BY9" s="272"/>
      <c r="BZ9" s="272"/>
      <c r="CA9" s="272"/>
      <c r="CB9" s="272"/>
      <c r="CC9" s="272"/>
      <c r="CD9" s="272"/>
      <c r="CE9" s="272"/>
      <c r="CF9" s="272"/>
      <c r="CG9" s="272"/>
      <c r="CH9" s="272"/>
      <c r="CI9" s="272"/>
      <c r="CJ9" s="272"/>
      <c r="CK9" s="272"/>
      <c r="CL9" s="272"/>
      <c r="CM9" s="272"/>
      <c r="CN9" s="272"/>
      <c r="CO9" s="272"/>
      <c r="CP9" s="272"/>
      <c r="CQ9" s="272"/>
      <c r="CR9" s="272"/>
      <c r="CS9" s="272"/>
    </row>
    <row r="10" spans="1:97" s="298" customFormat="1" ht="26.1" customHeight="1" outlineLevel="1" thickTop="1" thickBot="1" x14ac:dyDescent="0.5">
      <c r="A10" s="341" t="s">
        <v>111</v>
      </c>
      <c r="B10" s="342"/>
      <c r="C10" s="498">
        <v>369380</v>
      </c>
      <c r="D10" s="499">
        <f>C10</f>
        <v>369380</v>
      </c>
      <c r="E10" s="571">
        <v>369380</v>
      </c>
      <c r="F10" s="577">
        <f>ROUNDUP(E3*L21/1000,-2)</f>
        <v>372800</v>
      </c>
      <c r="G10" s="588">
        <f>ROUNDUP(N21*G3/1000,-2)</f>
        <v>0</v>
      </c>
      <c r="H10" s="650">
        <f>738759/2</f>
        <v>369379.5</v>
      </c>
      <c r="I10" s="549">
        <f t="shared" ref="I10:I74" si="2">E10-D10</f>
        <v>0</v>
      </c>
      <c r="J10" s="543"/>
      <c r="K10" s="448"/>
      <c r="L10" s="448"/>
      <c r="M10" s="448"/>
      <c r="N10" s="448"/>
      <c r="O10" s="449"/>
      <c r="P10" s="450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278"/>
      <c r="AU10" s="278"/>
      <c r="AV10" s="278"/>
      <c r="AW10" s="278"/>
      <c r="AX10" s="278"/>
      <c r="AY10" s="278"/>
      <c r="AZ10" s="278"/>
      <c r="BA10" s="278"/>
      <c r="BB10" s="278"/>
      <c r="BC10" s="278"/>
      <c r="BD10" s="278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8"/>
      <c r="BP10" s="278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278"/>
      <c r="CQ10" s="278"/>
      <c r="CR10" s="278"/>
      <c r="CS10" s="278"/>
    </row>
    <row r="11" spans="1:97" s="273" customFormat="1" ht="24.6" thickTop="1" thickBot="1" x14ac:dyDescent="0.5">
      <c r="A11" s="337" t="s">
        <v>112</v>
      </c>
      <c r="B11" s="338"/>
      <c r="C11" s="340">
        <f>SUM(C12:C18)</f>
        <v>52875.44</v>
      </c>
      <c r="D11" s="340">
        <f>SUM(D12:D18)</f>
        <v>63390.528000000006</v>
      </c>
      <c r="E11" s="570">
        <v>81250</v>
      </c>
      <c r="F11" s="292">
        <f>SUM(F12:F19)</f>
        <v>78200</v>
      </c>
      <c r="G11" s="587">
        <f>SUM(G12:G18)</f>
        <v>77735.899999999994</v>
      </c>
      <c r="H11" s="406">
        <f>SUM(H12:H18)</f>
        <v>69700</v>
      </c>
      <c r="I11" s="549">
        <f t="shared" si="2"/>
        <v>17859.471999999994</v>
      </c>
      <c r="J11" s="544"/>
      <c r="K11" s="299"/>
      <c r="L11" s="299"/>
      <c r="M11" s="279"/>
      <c r="N11" s="279"/>
      <c r="O11" s="272"/>
      <c r="P11" s="278"/>
      <c r="Q11" s="278"/>
      <c r="R11" s="278"/>
      <c r="S11" s="278"/>
      <c r="T11" s="278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</row>
    <row r="12" spans="1:97" s="298" customFormat="1" ht="24.6" outlineLevel="1" thickTop="1" thickBot="1" x14ac:dyDescent="0.5">
      <c r="A12" s="341" t="s">
        <v>113</v>
      </c>
      <c r="B12" s="342"/>
      <c r="C12" s="498">
        <v>0</v>
      </c>
      <c r="D12" s="499">
        <v>0</v>
      </c>
      <c r="E12" s="571">
        <v>0</v>
      </c>
      <c r="F12" s="300">
        <v>78000</v>
      </c>
      <c r="G12" s="589">
        <v>0</v>
      </c>
      <c r="H12" s="648">
        <v>0</v>
      </c>
      <c r="I12" s="549">
        <f t="shared" si="2"/>
        <v>0</v>
      </c>
      <c r="J12" s="545" t="s">
        <v>114</v>
      </c>
      <c r="K12" s="542">
        <v>4.0199999999999996</v>
      </c>
      <c r="L12" s="301">
        <f>K12*L20/1000</f>
        <v>329764.07327999995</v>
      </c>
      <c r="M12" s="272"/>
      <c r="N12" s="272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  <c r="AH12" s="278"/>
      <c r="AI12" s="278"/>
      <c r="AJ12" s="278"/>
      <c r="AK12" s="278"/>
      <c r="AL12" s="278"/>
      <c r="AM12" s="278"/>
      <c r="AN12" s="278"/>
      <c r="AO12" s="278"/>
      <c r="AP12" s="278"/>
      <c r="AQ12" s="278"/>
      <c r="AR12" s="278"/>
      <c r="AS12" s="278"/>
      <c r="AT12" s="278"/>
      <c r="AU12" s="278"/>
      <c r="AV12" s="278"/>
      <c r="AW12" s="278"/>
      <c r="AX12" s="278"/>
      <c r="AY12" s="278"/>
      <c r="AZ12" s="278"/>
      <c r="BA12" s="278"/>
      <c r="BB12" s="278"/>
      <c r="BC12" s="278"/>
      <c r="BD12" s="278"/>
      <c r="BE12" s="278"/>
      <c r="BF12" s="278"/>
      <c r="BG12" s="278"/>
      <c r="BH12" s="278"/>
      <c r="BI12" s="278"/>
      <c r="BJ12" s="278"/>
      <c r="BK12" s="278"/>
      <c r="BL12" s="278"/>
      <c r="BM12" s="278"/>
      <c r="BN12" s="278"/>
      <c r="BO12" s="278"/>
      <c r="BP12" s="278"/>
      <c r="BQ12" s="278"/>
      <c r="BR12" s="278"/>
      <c r="BS12" s="278"/>
      <c r="BT12" s="278"/>
      <c r="BU12" s="278"/>
      <c r="BV12" s="278"/>
      <c r="BW12" s="278"/>
      <c r="BX12" s="278"/>
      <c r="BY12" s="278"/>
      <c r="BZ12" s="278"/>
      <c r="CA12" s="278"/>
      <c r="CB12" s="278"/>
      <c r="CC12" s="278"/>
      <c r="CD12" s="278"/>
      <c r="CE12" s="278"/>
      <c r="CF12" s="278"/>
      <c r="CG12" s="278"/>
      <c r="CH12" s="278"/>
      <c r="CI12" s="278"/>
      <c r="CJ12" s="278"/>
      <c r="CK12" s="278"/>
      <c r="CL12" s="278"/>
      <c r="CM12" s="278"/>
      <c r="CN12" s="278"/>
      <c r="CO12" s="278"/>
      <c r="CP12" s="278"/>
      <c r="CQ12" s="278"/>
      <c r="CR12" s="278"/>
      <c r="CS12" s="278"/>
    </row>
    <row r="13" spans="1:97" s="298" customFormat="1" ht="24.6" outlineLevel="1" thickTop="1" thickBot="1" x14ac:dyDescent="0.5">
      <c r="A13" s="341" t="s">
        <v>115</v>
      </c>
      <c r="B13" s="342"/>
      <c r="C13" s="498">
        <v>0</v>
      </c>
      <c r="D13" s="499">
        <f t="shared" ref="D13:D53" si="3">C13*1.05</f>
        <v>0</v>
      </c>
      <c r="E13" s="571">
        <v>0</v>
      </c>
      <c r="F13" s="302">
        <v>0</v>
      </c>
      <c r="G13" s="589">
        <v>0</v>
      </c>
      <c r="H13" s="648">
        <v>0</v>
      </c>
      <c r="I13" s="549">
        <f t="shared" si="2"/>
        <v>0</v>
      </c>
      <c r="J13" s="679" t="s">
        <v>116</v>
      </c>
      <c r="K13" s="303">
        <v>3.8536999999999999</v>
      </c>
      <c r="L13" s="304">
        <f>K13*$L$20/1000</f>
        <v>316122.34059679997</v>
      </c>
      <c r="M13" s="551"/>
      <c r="N13" s="538"/>
      <c r="O13" s="552"/>
      <c r="P13" s="552"/>
      <c r="Q13" s="552"/>
      <c r="R13" s="552"/>
      <c r="S13" s="552"/>
      <c r="T13" s="552"/>
      <c r="U13" s="552"/>
      <c r="V13" s="552"/>
      <c r="W13" s="552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8"/>
      <c r="AJ13" s="278"/>
      <c r="AK13" s="278"/>
      <c r="AL13" s="278"/>
      <c r="AM13" s="278"/>
      <c r="AN13" s="278"/>
      <c r="AO13" s="278"/>
      <c r="AP13" s="278"/>
      <c r="AQ13" s="278"/>
      <c r="AR13" s="278"/>
      <c r="AS13" s="278"/>
      <c r="AT13" s="278"/>
      <c r="AU13" s="278"/>
      <c r="AV13" s="278"/>
      <c r="AW13" s="278"/>
      <c r="AX13" s="278"/>
      <c r="AY13" s="278"/>
      <c r="AZ13" s="278"/>
      <c r="BA13" s="278"/>
      <c r="BB13" s="278"/>
      <c r="BC13" s="278"/>
      <c r="BD13" s="278"/>
      <c r="BE13" s="278"/>
      <c r="BF13" s="278"/>
      <c r="BG13" s="278"/>
      <c r="BH13" s="278"/>
      <c r="BI13" s="278"/>
      <c r="BJ13" s="278"/>
      <c r="BK13" s="278"/>
      <c r="BL13" s="278"/>
      <c r="BM13" s="278"/>
      <c r="BN13" s="278"/>
      <c r="BO13" s="278"/>
      <c r="BP13" s="278"/>
      <c r="BQ13" s="278"/>
      <c r="BR13" s="278"/>
      <c r="BS13" s="278"/>
      <c r="BT13" s="278"/>
      <c r="BU13" s="278"/>
      <c r="BV13" s="278"/>
      <c r="BW13" s="278"/>
      <c r="BX13" s="278"/>
      <c r="BY13" s="278"/>
      <c r="BZ13" s="278"/>
      <c r="CA13" s="278"/>
      <c r="CB13" s="278"/>
      <c r="CC13" s="278"/>
      <c r="CD13" s="278"/>
      <c r="CE13" s="278"/>
      <c r="CF13" s="278"/>
      <c r="CG13" s="278"/>
      <c r="CH13" s="278"/>
      <c r="CI13" s="278"/>
      <c r="CJ13" s="278"/>
      <c r="CK13" s="278"/>
      <c r="CL13" s="278"/>
      <c r="CM13" s="278"/>
      <c r="CN13" s="278"/>
      <c r="CO13" s="278"/>
      <c r="CP13" s="278"/>
      <c r="CQ13" s="278"/>
      <c r="CR13" s="278"/>
      <c r="CS13" s="278"/>
    </row>
    <row r="14" spans="1:97" s="298" customFormat="1" ht="24.6" outlineLevel="1" thickTop="1" thickBot="1" x14ac:dyDescent="0.5">
      <c r="A14" s="341" t="s">
        <v>117</v>
      </c>
      <c r="B14" s="342"/>
      <c r="C14" s="498">
        <v>0</v>
      </c>
      <c r="D14" s="499">
        <f t="shared" si="3"/>
        <v>0</v>
      </c>
      <c r="E14" s="571">
        <v>0</v>
      </c>
      <c r="F14" s="300">
        <v>0</v>
      </c>
      <c r="G14" s="589">
        <v>0</v>
      </c>
      <c r="H14" s="648">
        <v>0</v>
      </c>
      <c r="I14" s="549">
        <f t="shared" si="2"/>
        <v>0</v>
      </c>
      <c r="J14" s="679"/>
      <c r="K14" s="303"/>
      <c r="L14" s="304"/>
      <c r="M14" s="551"/>
      <c r="N14" s="553"/>
      <c r="O14" s="552"/>
      <c r="P14" s="552"/>
      <c r="Q14" s="552"/>
      <c r="R14" s="552"/>
      <c r="S14" s="552"/>
      <c r="T14" s="552"/>
      <c r="U14" s="552"/>
      <c r="V14" s="552"/>
      <c r="W14" s="552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  <c r="AH14" s="278"/>
      <c r="AI14" s="278"/>
      <c r="AJ14" s="278"/>
      <c r="AK14" s="278"/>
      <c r="AL14" s="278"/>
      <c r="AM14" s="278"/>
      <c r="AN14" s="278"/>
      <c r="AO14" s="278"/>
      <c r="AP14" s="278"/>
      <c r="AQ14" s="278"/>
      <c r="AR14" s="278"/>
      <c r="AS14" s="278"/>
      <c r="AT14" s="278"/>
      <c r="AU14" s="278"/>
      <c r="AV14" s="278"/>
      <c r="AW14" s="278"/>
      <c r="AX14" s="278"/>
      <c r="AY14" s="278"/>
      <c r="AZ14" s="278"/>
      <c r="BA14" s="278"/>
      <c r="BB14" s="278"/>
      <c r="BC14" s="278"/>
      <c r="BD14" s="278"/>
      <c r="BE14" s="278"/>
      <c r="BF14" s="278"/>
      <c r="BG14" s="278"/>
      <c r="BH14" s="278"/>
      <c r="BI14" s="278"/>
      <c r="BJ14" s="278"/>
      <c r="BK14" s="278"/>
      <c r="BL14" s="278"/>
      <c r="BM14" s="278"/>
      <c r="BN14" s="278"/>
      <c r="BO14" s="278"/>
      <c r="BP14" s="278"/>
      <c r="BQ14" s="278"/>
      <c r="BR14" s="278"/>
      <c r="BS14" s="278"/>
      <c r="BT14" s="278"/>
      <c r="BU14" s="278"/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</row>
    <row r="15" spans="1:97" s="298" customFormat="1" ht="24.6" outlineLevel="1" thickTop="1" thickBot="1" x14ac:dyDescent="0.5">
      <c r="A15" s="341" t="s">
        <v>118</v>
      </c>
      <c r="B15" s="342"/>
      <c r="C15" s="498">
        <v>49723.23</v>
      </c>
      <c r="D15" s="499">
        <f>C15*1.2</f>
        <v>59667.876000000004</v>
      </c>
      <c r="E15" s="571">
        <v>74000</v>
      </c>
      <c r="F15" s="300">
        <v>0</v>
      </c>
      <c r="G15" s="589">
        <f>(70000*0.667)+((70000*0.333)*0.89)</f>
        <v>67435.899999999994</v>
      </c>
      <c r="H15" s="648">
        <v>65000</v>
      </c>
      <c r="I15" s="549">
        <f t="shared" si="2"/>
        <v>14332.123999999996</v>
      </c>
      <c r="J15" s="679"/>
      <c r="K15" s="303"/>
      <c r="L15" s="304"/>
      <c r="M15" s="551"/>
      <c r="N15" s="554"/>
      <c r="O15" s="552"/>
      <c r="P15" s="552"/>
      <c r="Q15" s="552"/>
      <c r="R15" s="552"/>
      <c r="S15" s="552"/>
      <c r="T15" s="552"/>
      <c r="U15" s="552"/>
      <c r="V15" s="552"/>
      <c r="W15" s="552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8"/>
      <c r="AT15" s="278"/>
      <c r="AU15" s="278"/>
      <c r="AV15" s="278"/>
      <c r="AW15" s="278"/>
      <c r="AX15" s="278"/>
      <c r="AY15" s="278"/>
      <c r="AZ15" s="278"/>
      <c r="BA15" s="278"/>
      <c r="BB15" s="278"/>
      <c r="BC15" s="278"/>
      <c r="BD15" s="278"/>
      <c r="BE15" s="278"/>
      <c r="BF15" s="278"/>
      <c r="BG15" s="278"/>
      <c r="BH15" s="278"/>
      <c r="BI15" s="278"/>
      <c r="BJ15" s="278"/>
      <c r="BK15" s="278"/>
      <c r="BL15" s="278"/>
      <c r="BM15" s="278"/>
      <c r="BN15" s="278"/>
      <c r="BO15" s="278"/>
      <c r="BP15" s="278"/>
      <c r="BQ15" s="278"/>
      <c r="BR15" s="278"/>
      <c r="BS15" s="278"/>
      <c r="BT15" s="278"/>
      <c r="BU15" s="278"/>
      <c r="BV15" s="278"/>
      <c r="BW15" s="278"/>
      <c r="BX15" s="278"/>
      <c r="BY15" s="278"/>
      <c r="BZ15" s="278"/>
      <c r="CA15" s="278"/>
      <c r="CB15" s="278"/>
      <c r="CC15" s="278"/>
      <c r="CD15" s="278"/>
      <c r="CE15" s="278"/>
      <c r="CF15" s="278"/>
      <c r="CG15" s="278"/>
      <c r="CH15" s="278"/>
      <c r="CI15" s="278"/>
      <c r="CJ15" s="278"/>
      <c r="CK15" s="278"/>
      <c r="CL15" s="278"/>
      <c r="CM15" s="278"/>
      <c r="CN15" s="278"/>
      <c r="CO15" s="278"/>
      <c r="CP15" s="278"/>
      <c r="CQ15" s="278"/>
      <c r="CR15" s="278"/>
      <c r="CS15" s="278"/>
    </row>
    <row r="16" spans="1:97" s="314" customFormat="1" ht="24.6" outlineLevel="1" thickTop="1" thickBot="1" x14ac:dyDescent="0.5">
      <c r="A16" s="341" t="s">
        <v>119</v>
      </c>
      <c r="B16" s="342"/>
      <c r="C16" s="498">
        <v>149.16999999999999</v>
      </c>
      <c r="D16" s="499">
        <f>C16*1.2</f>
        <v>179.00399999999999</v>
      </c>
      <c r="E16" s="571">
        <v>250</v>
      </c>
      <c r="F16" s="312"/>
      <c r="G16" s="589">
        <v>300</v>
      </c>
      <c r="H16" s="648">
        <v>200</v>
      </c>
      <c r="I16" s="549">
        <f t="shared" si="2"/>
        <v>70.996000000000009</v>
      </c>
      <c r="J16" s="546" t="s">
        <v>120</v>
      </c>
      <c r="K16" s="403">
        <f>H3</f>
        <v>4.0199999999999996</v>
      </c>
      <c r="L16" s="404">
        <f>K16*L21/1000</f>
        <v>372701.32343999995</v>
      </c>
      <c r="M16" s="551"/>
      <c r="N16" s="554"/>
      <c r="O16" s="552"/>
      <c r="P16" s="552"/>
      <c r="Q16" s="552"/>
      <c r="R16" s="552"/>
      <c r="S16" s="552"/>
      <c r="T16" s="552"/>
      <c r="U16" s="552"/>
      <c r="V16" s="552"/>
      <c r="W16" s="552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3"/>
      <c r="AL16" s="313"/>
      <c r="AM16" s="313"/>
      <c r="AN16" s="313"/>
      <c r="AO16" s="313"/>
      <c r="AP16" s="313"/>
      <c r="AQ16" s="313"/>
      <c r="AR16" s="313"/>
      <c r="AS16" s="313"/>
      <c r="AT16" s="313"/>
      <c r="AU16" s="313"/>
      <c r="AV16" s="313"/>
      <c r="AW16" s="313"/>
      <c r="AX16" s="313"/>
      <c r="AY16" s="313"/>
      <c r="AZ16" s="313"/>
      <c r="BA16" s="313"/>
      <c r="BB16" s="313"/>
      <c r="BC16" s="313"/>
      <c r="BD16" s="31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  <c r="BO16" s="313"/>
      <c r="BP16" s="313"/>
      <c r="BQ16" s="313"/>
      <c r="BR16" s="313"/>
      <c r="BS16" s="313"/>
      <c r="BT16" s="313"/>
      <c r="BU16" s="313"/>
      <c r="BV16" s="313"/>
      <c r="BW16" s="313"/>
      <c r="BX16" s="313"/>
      <c r="BY16" s="313"/>
      <c r="BZ16" s="313"/>
      <c r="CA16" s="313"/>
      <c r="CB16" s="313"/>
      <c r="CC16" s="313"/>
      <c r="CD16" s="313"/>
      <c r="CE16" s="313"/>
      <c r="CF16" s="313"/>
      <c r="CG16" s="313"/>
      <c r="CH16" s="313"/>
      <c r="CI16" s="313"/>
      <c r="CJ16" s="313"/>
      <c r="CK16" s="313"/>
      <c r="CL16" s="313"/>
      <c r="CM16" s="313"/>
      <c r="CN16" s="313"/>
      <c r="CO16" s="313"/>
      <c r="CP16" s="313"/>
      <c r="CQ16" s="313"/>
      <c r="CR16" s="313"/>
      <c r="CS16" s="313"/>
    </row>
    <row r="17" spans="1:97" s="314" customFormat="1" ht="24.6" outlineLevel="1" thickTop="1" thickBot="1" x14ac:dyDescent="0.5">
      <c r="A17" s="341" t="s">
        <v>121</v>
      </c>
      <c r="B17" s="342"/>
      <c r="C17" s="498">
        <v>2953.04</v>
      </c>
      <c r="D17" s="499">
        <f>C17*1.2</f>
        <v>3543.6479999999997</v>
      </c>
      <c r="E17" s="571">
        <v>6000</v>
      </c>
      <c r="F17" s="312"/>
      <c r="G17" s="589">
        <v>10000</v>
      </c>
      <c r="H17" s="648">
        <v>4500</v>
      </c>
      <c r="I17" s="549">
        <f t="shared" si="2"/>
        <v>2456.3520000000003</v>
      </c>
      <c r="J17" s="547" t="s">
        <v>116</v>
      </c>
      <c r="K17" s="405">
        <v>3.6898</v>
      </c>
      <c r="L17" s="404">
        <f>K17*L21/1000</f>
        <v>342087.89632559998</v>
      </c>
      <c r="M17" s="551"/>
      <c r="N17" s="554"/>
      <c r="O17" s="552"/>
      <c r="P17" s="552"/>
      <c r="Q17" s="552"/>
      <c r="R17" s="552"/>
      <c r="S17" s="552"/>
      <c r="T17" s="552"/>
      <c r="U17" s="552"/>
      <c r="V17" s="552"/>
      <c r="W17" s="552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/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  <c r="BO17" s="313"/>
      <c r="BP17" s="313"/>
      <c r="BQ17" s="313"/>
      <c r="BR17" s="313"/>
      <c r="BS17" s="313"/>
      <c r="BT17" s="313"/>
      <c r="BU17" s="313"/>
      <c r="BV17" s="313"/>
      <c r="BW17" s="313"/>
      <c r="BX17" s="313"/>
      <c r="BY17" s="313"/>
      <c r="BZ17" s="313"/>
      <c r="CA17" s="313"/>
      <c r="CB17" s="313"/>
      <c r="CC17" s="313"/>
      <c r="CD17" s="313"/>
      <c r="CE17" s="313"/>
      <c r="CF17" s="313"/>
      <c r="CG17" s="313"/>
      <c r="CH17" s="313"/>
      <c r="CI17" s="313"/>
      <c r="CJ17" s="313"/>
      <c r="CK17" s="313"/>
      <c r="CL17" s="313"/>
      <c r="CM17" s="313"/>
      <c r="CN17" s="313"/>
      <c r="CO17" s="313"/>
      <c r="CP17" s="313"/>
      <c r="CQ17" s="313"/>
      <c r="CR17" s="313"/>
      <c r="CS17" s="313"/>
    </row>
    <row r="18" spans="1:97" s="298" customFormat="1" ht="24.6" outlineLevel="1" thickTop="1" thickBot="1" x14ac:dyDescent="0.5">
      <c r="A18" s="341" t="s">
        <v>122</v>
      </c>
      <c r="B18" s="342"/>
      <c r="C18" s="498">
        <v>50</v>
      </c>
      <c r="D18" s="499">
        <v>0</v>
      </c>
      <c r="E18" s="571">
        <v>0</v>
      </c>
      <c r="F18" s="300">
        <v>200</v>
      </c>
      <c r="G18" s="589">
        <v>0</v>
      </c>
      <c r="H18" s="648">
        <v>0</v>
      </c>
      <c r="I18" s="549">
        <f t="shared" si="2"/>
        <v>0</v>
      </c>
      <c r="J18" s="544"/>
      <c r="K18" s="299"/>
      <c r="L18" s="299"/>
      <c r="M18" s="553"/>
      <c r="N18" s="553"/>
      <c r="O18" s="552"/>
      <c r="P18" s="552"/>
      <c r="Q18" s="552"/>
      <c r="R18" s="552"/>
      <c r="S18" s="552"/>
      <c r="T18" s="552"/>
      <c r="U18" s="552"/>
      <c r="V18" s="552"/>
      <c r="W18" s="552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78"/>
      <c r="CM18" s="278"/>
      <c r="CN18" s="278"/>
      <c r="CO18" s="278"/>
      <c r="CP18" s="278"/>
      <c r="CQ18" s="278"/>
      <c r="CR18" s="278"/>
      <c r="CS18" s="278"/>
    </row>
    <row r="19" spans="1:97" s="298" customFormat="1" ht="24.6" outlineLevel="1" thickTop="1" thickBot="1" x14ac:dyDescent="0.5">
      <c r="A19" s="337" t="s">
        <v>123</v>
      </c>
      <c r="B19" s="338"/>
      <c r="C19" s="340">
        <f>SUM(C20:C21)</f>
        <v>2380</v>
      </c>
      <c r="D19" s="340">
        <f>SUM(D20:D21)</f>
        <v>2350</v>
      </c>
      <c r="E19" s="570">
        <f>E20+E21</f>
        <v>2400</v>
      </c>
      <c r="F19" s="300">
        <v>0</v>
      </c>
      <c r="G19" s="587">
        <f>SUM(G20:G21)</f>
        <v>2300</v>
      </c>
      <c r="H19" s="406">
        <f>SUM(H20:H21)</f>
        <v>2200</v>
      </c>
      <c r="I19" s="549">
        <f t="shared" si="2"/>
        <v>50</v>
      </c>
      <c r="J19" s="278"/>
      <c r="K19" s="278"/>
      <c r="L19" s="278"/>
      <c r="M19" s="552"/>
      <c r="N19" s="552"/>
      <c r="O19" s="552"/>
      <c r="P19" s="552"/>
      <c r="Q19" s="552"/>
      <c r="R19" s="552"/>
      <c r="S19" s="552"/>
      <c r="T19" s="552"/>
      <c r="U19" s="552"/>
      <c r="V19" s="552"/>
      <c r="W19" s="552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  <c r="CJ19" s="278"/>
      <c r="CK19" s="278"/>
      <c r="CL19" s="278"/>
      <c r="CM19" s="278"/>
      <c r="CN19" s="278"/>
      <c r="CO19" s="278"/>
      <c r="CP19" s="278"/>
      <c r="CQ19" s="278"/>
      <c r="CR19" s="278"/>
      <c r="CS19" s="278"/>
    </row>
    <row r="20" spans="1:97" s="273" customFormat="1" ht="24.6" thickTop="1" thickBot="1" x14ac:dyDescent="0.5">
      <c r="A20" s="341" t="s">
        <v>124</v>
      </c>
      <c r="B20" s="342"/>
      <c r="C20" s="498">
        <v>2380</v>
      </c>
      <c r="D20" s="499">
        <v>2350</v>
      </c>
      <c r="E20" s="571">
        <v>2400</v>
      </c>
      <c r="F20" s="292">
        <f>SUM(F21:F22)</f>
        <v>600</v>
      </c>
      <c r="G20" s="589">
        <v>2300</v>
      </c>
      <c r="H20" s="648">
        <v>2200</v>
      </c>
      <c r="I20" s="549">
        <f t="shared" si="2"/>
        <v>50</v>
      </c>
      <c r="J20" s="737" t="s">
        <v>125</v>
      </c>
      <c r="K20" s="737"/>
      <c r="L20" s="288">
        <v>82030864</v>
      </c>
      <c r="M20" s="553"/>
      <c r="N20" s="553" t="s">
        <v>126</v>
      </c>
      <c r="O20" s="553"/>
      <c r="P20" s="553"/>
      <c r="Q20" s="553"/>
      <c r="R20" s="553"/>
      <c r="S20" s="553"/>
      <c r="T20" s="553"/>
      <c r="U20" s="553"/>
      <c r="V20" s="553"/>
      <c r="W20" s="553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</row>
    <row r="21" spans="1:97" s="298" customFormat="1" ht="24.6" outlineLevel="1" thickTop="1" thickBot="1" x14ac:dyDescent="0.5">
      <c r="A21" s="341" t="s">
        <v>127</v>
      </c>
      <c r="B21" s="342"/>
      <c r="C21" s="498">
        <v>0</v>
      </c>
      <c r="D21" s="499" t="s">
        <v>126</v>
      </c>
      <c r="E21" s="571">
        <v>0</v>
      </c>
      <c r="F21" s="300">
        <v>600</v>
      </c>
      <c r="G21" s="589">
        <v>0</v>
      </c>
      <c r="H21" s="648">
        <v>0</v>
      </c>
      <c r="I21" s="549" t="e">
        <f t="shared" si="2"/>
        <v>#VALUE!</v>
      </c>
      <c r="J21" s="737">
        <v>2022</v>
      </c>
      <c r="K21" s="737"/>
      <c r="L21" s="288">
        <v>92711772</v>
      </c>
      <c r="M21" s="552"/>
      <c r="N21" s="552"/>
      <c r="O21" s="552"/>
      <c r="P21" s="552"/>
      <c r="Q21" s="552"/>
      <c r="R21" s="552"/>
      <c r="S21" s="552"/>
      <c r="T21" s="552"/>
      <c r="U21" s="552"/>
      <c r="V21" s="552"/>
      <c r="W21" s="552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</row>
    <row r="22" spans="1:97" s="298" customFormat="1" ht="24.6" outlineLevel="1" thickTop="1" thickBot="1" x14ac:dyDescent="0.5">
      <c r="A22" s="337" t="s">
        <v>128</v>
      </c>
      <c r="B22" s="338"/>
      <c r="C22" s="340">
        <f>C23</f>
        <v>564.97</v>
      </c>
      <c r="D22" s="340">
        <f>D23</f>
        <v>677.96400000000006</v>
      </c>
      <c r="E22" s="570">
        <f>E23</f>
        <v>750</v>
      </c>
      <c r="F22" s="300">
        <v>0</v>
      </c>
      <c r="G22" s="587">
        <f>G23</f>
        <v>650</v>
      </c>
      <c r="H22" s="406">
        <f>SUM(H23)</f>
        <v>700</v>
      </c>
      <c r="I22" s="549">
        <f t="shared" si="2"/>
        <v>72.035999999999945</v>
      </c>
      <c r="J22" s="679"/>
      <c r="K22" s="680"/>
      <c r="L22" s="278"/>
      <c r="M22" s="552"/>
      <c r="N22" s="552"/>
      <c r="O22" s="552"/>
      <c r="P22" s="552"/>
      <c r="Q22" s="552"/>
      <c r="R22" s="552"/>
      <c r="S22" s="552"/>
      <c r="T22" s="552"/>
      <c r="U22" s="552"/>
      <c r="V22" s="552"/>
      <c r="W22" s="552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8"/>
      <c r="BU22" s="278"/>
      <c r="BV22" s="278"/>
      <c r="BW22" s="278"/>
      <c r="BX22" s="278"/>
      <c r="BY22" s="278"/>
      <c r="BZ22" s="278"/>
      <c r="CA22" s="278"/>
      <c r="CB22" s="278"/>
      <c r="CC22" s="278"/>
      <c r="CD22" s="278"/>
      <c r="CE22" s="278"/>
      <c r="CF22" s="278"/>
      <c r="CG22" s="278"/>
      <c r="CH22" s="278"/>
      <c r="CI22" s="278"/>
      <c r="CJ22" s="278"/>
      <c r="CK22" s="278"/>
      <c r="CL22" s="278"/>
      <c r="CM22" s="278"/>
      <c r="CN22" s="278"/>
      <c r="CO22" s="278"/>
      <c r="CP22" s="278"/>
      <c r="CQ22" s="278"/>
      <c r="CR22" s="278"/>
      <c r="CS22" s="278"/>
    </row>
    <row r="23" spans="1:97" s="273" customFormat="1" ht="24.6" thickTop="1" thickBot="1" x14ac:dyDescent="0.5">
      <c r="A23" s="341" t="s">
        <v>129</v>
      </c>
      <c r="B23" s="342"/>
      <c r="C23" s="498">
        <v>564.97</v>
      </c>
      <c r="D23" s="499">
        <f>C23*1.2</f>
        <v>677.96400000000006</v>
      </c>
      <c r="E23" s="571">
        <v>750</v>
      </c>
      <c r="F23" s="292">
        <f>F24</f>
        <v>550</v>
      </c>
      <c r="G23" s="589">
        <v>650</v>
      </c>
      <c r="H23" s="648">
        <v>700</v>
      </c>
      <c r="I23" s="549">
        <f t="shared" si="2"/>
        <v>72.035999999999945</v>
      </c>
      <c r="J23" s="738"/>
      <c r="K23" s="739"/>
      <c r="L23" s="278"/>
      <c r="M23" s="552"/>
      <c r="N23" s="552"/>
      <c r="O23" s="553"/>
      <c r="P23" s="553"/>
      <c r="Q23" s="553"/>
      <c r="R23" s="553"/>
      <c r="S23" s="553"/>
      <c r="T23" s="553"/>
      <c r="U23" s="553"/>
      <c r="V23" s="553"/>
      <c r="W23" s="553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</row>
    <row r="24" spans="1:97" s="298" customFormat="1" ht="24.6" outlineLevel="1" thickTop="1" thickBot="1" x14ac:dyDescent="0.5">
      <c r="A24" s="337" t="s">
        <v>130</v>
      </c>
      <c r="B24" s="338"/>
      <c r="C24" s="340">
        <f>C25</f>
        <v>9992.44</v>
      </c>
      <c r="D24" s="340">
        <f>D25</f>
        <v>10492.062000000002</v>
      </c>
      <c r="E24" s="570">
        <f>E25</f>
        <v>11500</v>
      </c>
      <c r="F24" s="300">
        <v>550</v>
      </c>
      <c r="G24" s="587">
        <f>G25</f>
        <v>3800</v>
      </c>
      <c r="H24" s="406">
        <f>SUM(H25)</f>
        <v>13000</v>
      </c>
      <c r="I24" s="549">
        <f t="shared" si="2"/>
        <v>1007.9379999999983</v>
      </c>
      <c r="J24" s="679"/>
      <c r="K24" s="305"/>
      <c r="L24" s="278"/>
      <c r="M24" s="552"/>
      <c r="N24" s="552"/>
      <c r="O24" s="552"/>
      <c r="P24" s="552"/>
      <c r="Q24" s="552"/>
      <c r="R24" s="552"/>
      <c r="S24" s="552"/>
      <c r="T24" s="552"/>
      <c r="U24" s="552"/>
      <c r="V24" s="552"/>
      <c r="W24" s="552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8"/>
      <c r="CB24" s="278"/>
      <c r="CC24" s="278"/>
      <c r="CD24" s="278"/>
      <c r="CE24" s="278"/>
      <c r="CF24" s="278"/>
      <c r="CG24" s="278"/>
      <c r="CH24" s="278"/>
      <c r="CI24" s="278"/>
      <c r="CJ24" s="278"/>
      <c r="CK24" s="278"/>
      <c r="CL24" s="278"/>
      <c r="CM24" s="278"/>
      <c r="CN24" s="278"/>
      <c r="CO24" s="278"/>
      <c r="CP24" s="278"/>
      <c r="CQ24" s="278"/>
      <c r="CR24" s="278"/>
      <c r="CS24" s="278"/>
    </row>
    <row r="25" spans="1:97" s="273" customFormat="1" ht="24.6" thickTop="1" thickBot="1" x14ac:dyDescent="0.5">
      <c r="A25" s="341" t="s">
        <v>131</v>
      </c>
      <c r="B25" s="342"/>
      <c r="C25" s="498">
        <v>9992.44</v>
      </c>
      <c r="D25" s="499">
        <f>C25*1.05</f>
        <v>10492.062000000002</v>
      </c>
      <c r="E25" s="571">
        <v>11500</v>
      </c>
      <c r="F25" s="292">
        <f>F26</f>
        <v>2800</v>
      </c>
      <c r="G25" s="589">
        <v>3800</v>
      </c>
      <c r="H25" s="648">
        <v>13000</v>
      </c>
      <c r="I25" s="549">
        <f t="shared" si="2"/>
        <v>1007.9379999999983</v>
      </c>
      <c r="J25" s="679"/>
      <c r="K25" s="305"/>
      <c r="L25" s="278"/>
      <c r="M25" s="552"/>
      <c r="N25" s="552"/>
      <c r="O25" s="553"/>
      <c r="P25" s="553"/>
      <c r="Q25" s="553"/>
      <c r="R25" s="553"/>
      <c r="S25" s="553"/>
      <c r="T25" s="553"/>
      <c r="U25" s="553"/>
      <c r="V25" s="553"/>
      <c r="W25" s="553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</row>
    <row r="26" spans="1:97" s="298" customFormat="1" ht="18.899999999999999" customHeight="1" outlineLevel="1" thickTop="1" thickBot="1" x14ac:dyDescent="0.5">
      <c r="A26" s="337" t="s">
        <v>132</v>
      </c>
      <c r="B26" s="338"/>
      <c r="C26" s="340">
        <f xml:space="preserve"> C27</f>
        <v>1447.34</v>
      </c>
      <c r="D26" s="340">
        <f>D27</f>
        <v>1447.34</v>
      </c>
      <c r="E26" s="570">
        <f>E27</f>
        <v>200</v>
      </c>
      <c r="F26" s="300">
        <v>2800</v>
      </c>
      <c r="G26" s="587">
        <f>G27</f>
        <v>450</v>
      </c>
      <c r="H26" s="406">
        <f>+SUM(H27)</f>
        <v>1000</v>
      </c>
      <c r="I26" s="549">
        <f t="shared" si="2"/>
        <v>-1247.3399999999999</v>
      </c>
      <c r="J26" s="679"/>
      <c r="K26" s="305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8"/>
      <c r="BU26" s="278"/>
      <c r="BV26" s="278"/>
      <c r="BW26" s="278"/>
      <c r="BX26" s="278"/>
      <c r="BY26" s="278"/>
      <c r="BZ26" s="278"/>
      <c r="CA26" s="278"/>
      <c r="CB26" s="278"/>
      <c r="CC26" s="278"/>
      <c r="CD26" s="278"/>
      <c r="CE26" s="278"/>
      <c r="CF26" s="278"/>
      <c r="CG26" s="278"/>
      <c r="CH26" s="278"/>
      <c r="CI26" s="278"/>
      <c r="CJ26" s="278"/>
      <c r="CK26" s="278"/>
      <c r="CL26" s="278"/>
      <c r="CM26" s="278"/>
      <c r="CN26" s="278"/>
      <c r="CO26" s="278"/>
      <c r="CP26" s="278"/>
      <c r="CQ26" s="278"/>
      <c r="CR26" s="278"/>
      <c r="CS26" s="278"/>
    </row>
    <row r="27" spans="1:97" s="273" customFormat="1" ht="24.6" thickTop="1" thickBot="1" x14ac:dyDescent="0.5">
      <c r="A27" s="341" t="s">
        <v>133</v>
      </c>
      <c r="B27" s="342"/>
      <c r="C27" s="498">
        <v>1447.34</v>
      </c>
      <c r="D27" s="499">
        <f>C27</f>
        <v>1447.34</v>
      </c>
      <c r="E27" s="571">
        <v>200</v>
      </c>
      <c r="F27" s="292">
        <f>F28</f>
        <v>400</v>
      </c>
      <c r="G27" s="589">
        <v>450</v>
      </c>
      <c r="H27" s="648">
        <v>1000</v>
      </c>
      <c r="I27" s="549">
        <f t="shared" si="2"/>
        <v>-1247.3399999999999</v>
      </c>
      <c r="J27" s="679"/>
      <c r="K27" s="680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</row>
    <row r="28" spans="1:97" s="298" customFormat="1" ht="18.75" customHeight="1" outlineLevel="1" thickTop="1" thickBot="1" x14ac:dyDescent="0.5">
      <c r="A28" s="337" t="s">
        <v>134</v>
      </c>
      <c r="B28" s="338"/>
      <c r="C28" s="340">
        <f>C29</f>
        <v>8279.7199999999993</v>
      </c>
      <c r="D28" s="340">
        <f>D29</f>
        <v>9935.6640000000007</v>
      </c>
      <c r="E28" s="570">
        <f>E29</f>
        <v>7500</v>
      </c>
      <c r="F28" s="300">
        <v>400</v>
      </c>
      <c r="G28" s="587">
        <f>G29</f>
        <v>8000</v>
      </c>
      <c r="H28" s="406">
        <f>H29</f>
        <v>9000</v>
      </c>
      <c r="I28" s="549">
        <f t="shared" si="2"/>
        <v>-2435.6640000000007</v>
      </c>
      <c r="J28" s="735"/>
      <c r="K28" s="736"/>
      <c r="L28" s="306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8"/>
      <c r="CM28" s="278"/>
      <c r="CN28" s="278"/>
      <c r="CO28" s="278"/>
      <c r="CP28" s="278"/>
      <c r="CQ28" s="278"/>
      <c r="CR28" s="278"/>
      <c r="CS28" s="278"/>
    </row>
    <row r="29" spans="1:97" s="273" customFormat="1" ht="24.6" thickTop="1" thickBot="1" x14ac:dyDescent="0.5">
      <c r="A29" s="341" t="s">
        <v>135</v>
      </c>
      <c r="B29" s="342"/>
      <c r="C29" s="498">
        <v>8279.7199999999993</v>
      </c>
      <c r="D29" s="499">
        <f>C29/10*12</f>
        <v>9935.6640000000007</v>
      </c>
      <c r="E29" s="571">
        <v>7500</v>
      </c>
      <c r="F29" s="292">
        <f>F30</f>
        <v>8000</v>
      </c>
      <c r="G29" s="589">
        <v>8000</v>
      </c>
      <c r="H29" s="648">
        <v>9000</v>
      </c>
      <c r="I29" s="549">
        <f t="shared" si="2"/>
        <v>-2435.6640000000007</v>
      </c>
      <c r="J29" s="548"/>
      <c r="K29" s="298"/>
      <c r="L29" s="298"/>
      <c r="M29" s="298"/>
      <c r="N29" s="298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</row>
    <row r="30" spans="1:97" s="298" customFormat="1" ht="24.6" outlineLevel="1" thickTop="1" thickBot="1" x14ac:dyDescent="0.5">
      <c r="A30" s="337" t="s">
        <v>136</v>
      </c>
      <c r="B30" s="338"/>
      <c r="C30" s="340">
        <f>SUM(C31:C37)</f>
        <v>37033.25</v>
      </c>
      <c r="D30" s="340">
        <f>SUM(D31:D37)</f>
        <v>40470.249999999993</v>
      </c>
      <c r="E30" s="570">
        <f>SUM(E31:E37)</f>
        <v>38000</v>
      </c>
      <c r="F30" s="300">
        <v>8000</v>
      </c>
      <c r="G30" s="587">
        <f>SUM(G31:G37)</f>
        <v>38470</v>
      </c>
      <c r="H30" s="406">
        <f>SUM(H31:H37)</f>
        <v>42000</v>
      </c>
      <c r="I30" s="549">
        <f t="shared" si="2"/>
        <v>-2470.2499999999927</v>
      </c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8"/>
      <c r="CM30" s="278"/>
      <c r="CN30" s="278"/>
      <c r="CO30" s="278"/>
      <c r="CP30" s="278"/>
      <c r="CQ30" s="278"/>
      <c r="CR30" s="278"/>
      <c r="CS30" s="278"/>
    </row>
    <row r="31" spans="1:97" s="273" customFormat="1" ht="24.6" thickTop="1" thickBot="1" x14ac:dyDescent="0.5">
      <c r="A31" s="341" t="s">
        <v>137</v>
      </c>
      <c r="B31" s="342"/>
      <c r="C31" s="498">
        <v>0</v>
      </c>
      <c r="D31" s="499">
        <f t="shared" si="3"/>
        <v>0</v>
      </c>
      <c r="E31" s="571">
        <f>D31*1.05</f>
        <v>0</v>
      </c>
      <c r="F31" s="292">
        <f>SUM(F32:F38)</f>
        <v>89900</v>
      </c>
      <c r="G31" s="589">
        <v>0</v>
      </c>
      <c r="H31" s="648">
        <v>0</v>
      </c>
      <c r="I31" s="549">
        <f t="shared" si="2"/>
        <v>0</v>
      </c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</row>
    <row r="32" spans="1:97" s="298" customFormat="1" ht="24.6" outlineLevel="1" thickTop="1" thickBot="1" x14ac:dyDescent="0.5">
      <c r="A32" s="341" t="s">
        <v>138</v>
      </c>
      <c r="B32" s="342"/>
      <c r="C32" s="498">
        <v>0</v>
      </c>
      <c r="D32" s="499">
        <f t="shared" si="3"/>
        <v>0</v>
      </c>
      <c r="E32" s="571">
        <f>D32*1.05</f>
        <v>0</v>
      </c>
      <c r="F32" s="300">
        <f>D32*1.05</f>
        <v>0</v>
      </c>
      <c r="G32" s="589">
        <f>F32*1.05</f>
        <v>0</v>
      </c>
      <c r="H32" s="648">
        <v>0</v>
      </c>
      <c r="I32" s="549">
        <f t="shared" si="2"/>
        <v>0</v>
      </c>
      <c r="J32" s="673" t="s">
        <v>139</v>
      </c>
      <c r="K32" s="673" t="s">
        <v>140</v>
      </c>
      <c r="L32" s="673"/>
      <c r="M32" s="673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8"/>
      <c r="CQ32" s="278"/>
      <c r="CR32" s="278"/>
      <c r="CS32" s="278"/>
    </row>
    <row r="33" spans="1:97" s="298" customFormat="1" ht="24.6" outlineLevel="1" thickTop="1" thickBot="1" x14ac:dyDescent="0.5">
      <c r="A33" s="341" t="s">
        <v>141</v>
      </c>
      <c r="B33" s="342"/>
      <c r="C33" s="498">
        <v>0</v>
      </c>
      <c r="D33" s="499">
        <f t="shared" si="3"/>
        <v>0</v>
      </c>
      <c r="E33" s="571">
        <v>0</v>
      </c>
      <c r="F33" s="300">
        <f>D33*1.05</f>
        <v>0</v>
      </c>
      <c r="G33" s="589">
        <v>0</v>
      </c>
      <c r="H33" s="648">
        <v>0</v>
      </c>
      <c r="I33" s="549">
        <f t="shared" si="2"/>
        <v>0</v>
      </c>
      <c r="J33" s="674">
        <v>15826.32</v>
      </c>
      <c r="K33" s="674">
        <v>48638.58</v>
      </c>
      <c r="L33" s="673"/>
      <c r="M33" s="673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  <c r="AH33" s="278"/>
      <c r="AI33" s="278"/>
      <c r="AJ33" s="278"/>
      <c r="AK33" s="278"/>
      <c r="AL33" s="278"/>
      <c r="AM33" s="278"/>
      <c r="AN33" s="278"/>
      <c r="AO33" s="278"/>
      <c r="AP33" s="278"/>
      <c r="AQ33" s="278"/>
      <c r="AR33" s="278"/>
      <c r="AS33" s="278"/>
      <c r="AT33" s="278"/>
      <c r="AU33" s="278"/>
      <c r="AV33" s="278"/>
      <c r="AW33" s="278"/>
      <c r="AX33" s="278"/>
      <c r="AY33" s="278"/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8"/>
      <c r="CG33" s="278"/>
      <c r="CH33" s="278"/>
      <c r="CI33" s="278"/>
      <c r="CJ33" s="278"/>
      <c r="CK33" s="278"/>
      <c r="CL33" s="278"/>
      <c r="CM33" s="278"/>
      <c r="CN33" s="278"/>
      <c r="CO33" s="278"/>
      <c r="CP33" s="278"/>
      <c r="CQ33" s="278"/>
      <c r="CR33" s="278"/>
      <c r="CS33" s="278"/>
    </row>
    <row r="34" spans="1:97" s="298" customFormat="1" ht="24.6" outlineLevel="1" thickTop="1" thickBot="1" x14ac:dyDescent="0.5">
      <c r="A34" s="341" t="s">
        <v>142</v>
      </c>
      <c r="B34" s="342"/>
      <c r="C34" s="498">
        <v>0</v>
      </c>
      <c r="D34" s="499">
        <f t="shared" si="3"/>
        <v>0</v>
      </c>
      <c r="E34" s="571">
        <v>0</v>
      </c>
      <c r="F34" s="300">
        <v>0</v>
      </c>
      <c r="G34" s="589">
        <v>0</v>
      </c>
      <c r="H34" s="648">
        <v>0</v>
      </c>
      <c r="I34" s="549">
        <f t="shared" si="2"/>
        <v>0</v>
      </c>
      <c r="J34" s="674">
        <v>386668.74</v>
      </c>
      <c r="K34" s="674">
        <v>29688.12</v>
      </c>
      <c r="L34" s="673"/>
      <c r="M34" s="673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278"/>
      <c r="AO34" s="278"/>
      <c r="AP34" s="278"/>
      <c r="AQ34" s="278"/>
      <c r="AR34" s="278"/>
      <c r="AS34" s="278"/>
      <c r="AT34" s="278"/>
      <c r="AU34" s="278"/>
      <c r="AV34" s="278"/>
      <c r="AW34" s="278"/>
      <c r="AX34" s="278"/>
      <c r="AY34" s="278"/>
      <c r="AZ34" s="278"/>
      <c r="BA34" s="278"/>
      <c r="BB34" s="278"/>
      <c r="BC34" s="278"/>
      <c r="BD34" s="278"/>
      <c r="BE34" s="278"/>
      <c r="BF34" s="278"/>
      <c r="BG34" s="278"/>
      <c r="BH34" s="278"/>
      <c r="BI34" s="278"/>
      <c r="BJ34" s="278"/>
      <c r="BK34" s="278"/>
      <c r="BL34" s="278"/>
      <c r="BM34" s="278"/>
      <c r="BN34" s="278"/>
      <c r="BO34" s="278"/>
      <c r="BP34" s="278"/>
      <c r="BQ34" s="278"/>
      <c r="BR34" s="278"/>
      <c r="BS34" s="278"/>
      <c r="BT34" s="278"/>
      <c r="BU34" s="278"/>
      <c r="BV34" s="278"/>
      <c r="BW34" s="278"/>
      <c r="BX34" s="278"/>
      <c r="BY34" s="278"/>
      <c r="BZ34" s="278"/>
      <c r="CA34" s="278"/>
      <c r="CB34" s="278"/>
      <c r="CC34" s="278"/>
      <c r="CD34" s="278"/>
      <c r="CE34" s="278"/>
      <c r="CF34" s="278"/>
      <c r="CG34" s="278"/>
      <c r="CH34" s="278"/>
      <c r="CI34" s="278"/>
      <c r="CJ34" s="278"/>
      <c r="CK34" s="278"/>
      <c r="CL34" s="278"/>
      <c r="CM34" s="278"/>
      <c r="CN34" s="278"/>
      <c r="CO34" s="278"/>
      <c r="CP34" s="278"/>
      <c r="CQ34" s="278"/>
      <c r="CR34" s="278"/>
      <c r="CS34" s="278"/>
    </row>
    <row r="35" spans="1:97" s="298" customFormat="1" ht="24.6" outlineLevel="1" thickTop="1" thickBot="1" x14ac:dyDescent="0.5">
      <c r="A35" s="341" t="s">
        <v>143</v>
      </c>
      <c r="B35" s="342"/>
      <c r="C35" s="498">
        <v>0</v>
      </c>
      <c r="D35" s="499">
        <f t="shared" si="3"/>
        <v>0</v>
      </c>
      <c r="E35" s="571">
        <v>0</v>
      </c>
      <c r="F35" s="300">
        <f t="shared" ref="F35" si="4">E35*1.05</f>
        <v>0</v>
      </c>
      <c r="G35" s="589">
        <v>0</v>
      </c>
      <c r="H35" s="648">
        <v>0</v>
      </c>
      <c r="I35" s="549">
        <f t="shared" si="2"/>
        <v>0</v>
      </c>
      <c r="J35" s="674">
        <v>118939.92</v>
      </c>
      <c r="K35" s="674">
        <v>181787.9</v>
      </c>
      <c r="L35" s="673"/>
      <c r="M35" s="673"/>
      <c r="N35" s="278"/>
      <c r="O35" s="278"/>
      <c r="P35" s="278"/>
      <c r="Q35" s="278"/>
      <c r="R35" s="278"/>
      <c r="S35" s="278"/>
      <c r="T35" s="278"/>
      <c r="U35" s="278"/>
      <c r="V35" s="278"/>
      <c r="W35" s="278"/>
      <c r="X35" s="278"/>
      <c r="Y35" s="278"/>
      <c r="Z35" s="278"/>
      <c r="AA35" s="278"/>
      <c r="AB35" s="278"/>
      <c r="AC35" s="278"/>
      <c r="AD35" s="278"/>
      <c r="AE35" s="278"/>
      <c r="AF35" s="278"/>
      <c r="AG35" s="278"/>
      <c r="AH35" s="278"/>
      <c r="AI35" s="278"/>
      <c r="AJ35" s="278"/>
      <c r="AK35" s="278"/>
      <c r="AL35" s="278"/>
      <c r="AM35" s="278"/>
      <c r="AN35" s="278"/>
      <c r="AO35" s="278"/>
      <c r="AP35" s="278"/>
      <c r="AQ35" s="278"/>
      <c r="AR35" s="278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8"/>
      <c r="BD35" s="278"/>
      <c r="BE35" s="278"/>
      <c r="BF35" s="278"/>
      <c r="BG35" s="278"/>
      <c r="BH35" s="278"/>
      <c r="BI35" s="278"/>
      <c r="BJ35" s="278"/>
      <c r="BK35" s="278"/>
      <c r="BL35" s="278"/>
      <c r="BM35" s="278"/>
      <c r="BN35" s="278"/>
      <c r="BO35" s="278"/>
      <c r="BP35" s="278"/>
      <c r="BQ35" s="278"/>
      <c r="BR35" s="278"/>
      <c r="BS35" s="278"/>
      <c r="BT35" s="278"/>
      <c r="BU35" s="278"/>
      <c r="BV35" s="278"/>
      <c r="BW35" s="278"/>
      <c r="BX35" s="278"/>
      <c r="BY35" s="278"/>
      <c r="BZ35" s="278"/>
      <c r="CA35" s="278"/>
      <c r="CB35" s="278"/>
      <c r="CC35" s="278"/>
      <c r="CD35" s="278"/>
      <c r="CE35" s="278"/>
      <c r="CF35" s="278"/>
      <c r="CG35" s="278"/>
      <c r="CH35" s="278"/>
      <c r="CI35" s="278"/>
      <c r="CJ35" s="278"/>
      <c r="CK35" s="278"/>
      <c r="CL35" s="278"/>
      <c r="CM35" s="278"/>
      <c r="CN35" s="278"/>
      <c r="CO35" s="278"/>
      <c r="CP35" s="278"/>
      <c r="CQ35" s="278"/>
      <c r="CR35" s="278"/>
      <c r="CS35" s="278"/>
    </row>
    <row r="36" spans="1:97" s="298" customFormat="1" ht="24.6" outlineLevel="1" thickTop="1" thickBot="1" x14ac:dyDescent="0.5">
      <c r="A36" s="341" t="s">
        <v>144</v>
      </c>
      <c r="B36" s="342"/>
      <c r="C36" s="498">
        <v>30926.87</v>
      </c>
      <c r="D36" s="499">
        <f>C36+3437</f>
        <v>34363.869999999995</v>
      </c>
      <c r="E36" s="571">
        <v>38000</v>
      </c>
      <c r="F36" s="300">
        <f t="shared" ref="F36" si="5">E36*1.05</f>
        <v>39900</v>
      </c>
      <c r="G36" s="589">
        <f>(3847*12)*10/12</f>
        <v>38470</v>
      </c>
      <c r="H36" s="648">
        <v>35000</v>
      </c>
      <c r="I36" s="549">
        <f t="shared" si="2"/>
        <v>3636.1300000000047</v>
      </c>
      <c r="J36" s="674"/>
      <c r="K36" s="674">
        <v>70116.039999999994</v>
      </c>
      <c r="L36" s="673"/>
      <c r="M36" s="673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8"/>
      <c r="AG36" s="278"/>
      <c r="AH36" s="278"/>
      <c r="AI36" s="278"/>
      <c r="AJ36" s="278"/>
      <c r="AK36" s="278"/>
      <c r="AL36" s="278"/>
      <c r="AM36" s="278"/>
      <c r="AN36" s="278"/>
      <c r="AO36" s="278"/>
      <c r="AP36" s="278"/>
      <c r="AQ36" s="278"/>
      <c r="AR36" s="278"/>
      <c r="AS36" s="278"/>
      <c r="AT36" s="278"/>
      <c r="AU36" s="278"/>
      <c r="AV36" s="278"/>
      <c r="AW36" s="278"/>
      <c r="AX36" s="278"/>
      <c r="AY36" s="278"/>
      <c r="AZ36" s="278"/>
      <c r="BA36" s="278"/>
      <c r="BB36" s="278"/>
      <c r="BC36" s="278"/>
      <c r="BD36" s="278"/>
      <c r="BE36" s="278"/>
      <c r="BF36" s="278"/>
      <c r="BG36" s="278"/>
      <c r="BH36" s="278"/>
      <c r="BI36" s="278"/>
      <c r="BJ36" s="278"/>
      <c r="BK36" s="278"/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78"/>
      <c r="CD36" s="278"/>
      <c r="CE36" s="278"/>
      <c r="CF36" s="278"/>
      <c r="CG36" s="278"/>
      <c r="CH36" s="278"/>
      <c r="CI36" s="278"/>
      <c r="CJ36" s="278"/>
      <c r="CK36" s="278"/>
      <c r="CL36" s="278"/>
      <c r="CM36" s="278"/>
      <c r="CN36" s="278"/>
      <c r="CO36" s="278"/>
      <c r="CP36" s="278"/>
      <c r="CQ36" s="278"/>
      <c r="CR36" s="278"/>
      <c r="CS36" s="278"/>
    </row>
    <row r="37" spans="1:97" s="298" customFormat="1" ht="24.6" outlineLevel="1" thickTop="1" thickBot="1" x14ac:dyDescent="0.5">
      <c r="A37" s="341" t="s">
        <v>145</v>
      </c>
      <c r="B37" s="342"/>
      <c r="C37" s="498">
        <v>6106.38</v>
      </c>
      <c r="D37" s="499">
        <f>C37</f>
        <v>6106.38</v>
      </c>
      <c r="E37" s="571">
        <v>0</v>
      </c>
      <c r="F37" s="300">
        <v>40000</v>
      </c>
      <c r="G37" s="589">
        <f>E37*10/12</f>
        <v>0</v>
      </c>
      <c r="H37" s="648">
        <v>7000</v>
      </c>
      <c r="I37" s="549">
        <f t="shared" si="2"/>
        <v>-6106.38</v>
      </c>
      <c r="J37" s="674">
        <v>131412.82999999999</v>
      </c>
      <c r="K37" s="674">
        <v>53674.86</v>
      </c>
      <c r="L37" s="673"/>
      <c r="M37" s="673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8"/>
      <c r="AG37" s="278"/>
      <c r="AH37" s="278"/>
      <c r="AI37" s="278"/>
      <c r="AJ37" s="278"/>
      <c r="AK37" s="278"/>
      <c r="AL37" s="278"/>
      <c r="AM37" s="278"/>
      <c r="AN37" s="278"/>
      <c r="AO37" s="278"/>
      <c r="AP37" s="278"/>
      <c r="AQ37" s="278"/>
      <c r="AR37" s="278"/>
      <c r="AS37" s="278"/>
      <c r="AT37" s="278"/>
      <c r="AU37" s="278"/>
      <c r="AV37" s="278"/>
      <c r="AW37" s="278"/>
      <c r="AX37" s="278"/>
      <c r="AY37" s="278"/>
      <c r="AZ37" s="278"/>
      <c r="BA37" s="278"/>
      <c r="BB37" s="278"/>
      <c r="BC37" s="278"/>
      <c r="BD37" s="278"/>
      <c r="BE37" s="278"/>
      <c r="BF37" s="278"/>
      <c r="BG37" s="278"/>
      <c r="BH37" s="278"/>
      <c r="BI37" s="278"/>
      <c r="BJ37" s="278"/>
      <c r="BK37" s="278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78"/>
      <c r="CD37" s="278"/>
      <c r="CE37" s="278"/>
      <c r="CF37" s="278"/>
      <c r="CG37" s="278"/>
      <c r="CH37" s="278"/>
      <c r="CI37" s="278"/>
      <c r="CJ37" s="278"/>
      <c r="CK37" s="278"/>
      <c r="CL37" s="278"/>
      <c r="CM37" s="278"/>
      <c r="CN37" s="278"/>
      <c r="CO37" s="278"/>
      <c r="CP37" s="278"/>
      <c r="CQ37" s="278"/>
      <c r="CR37" s="278"/>
      <c r="CS37" s="278"/>
    </row>
    <row r="38" spans="1:97" s="298" customFormat="1" ht="24.6" outlineLevel="1" thickTop="1" thickBot="1" x14ac:dyDescent="0.5">
      <c r="A38" s="337" t="s">
        <v>146</v>
      </c>
      <c r="B38" s="338"/>
      <c r="C38" s="340">
        <f>C39</f>
        <v>1055.6199999999999</v>
      </c>
      <c r="D38" s="340">
        <f>D39</f>
        <v>1266.7439999999999</v>
      </c>
      <c r="E38" s="570">
        <f>E39</f>
        <v>1500</v>
      </c>
      <c r="F38" s="300">
        <v>10000</v>
      </c>
      <c r="G38" s="587">
        <f>G39</f>
        <v>1500</v>
      </c>
      <c r="H38" s="406">
        <f>SUM(H39)</f>
        <v>1500</v>
      </c>
      <c r="I38" s="549">
        <f t="shared" si="2"/>
        <v>233.25600000000009</v>
      </c>
      <c r="J38" s="674">
        <v>107809.69</v>
      </c>
      <c r="K38" s="674">
        <v>26542.93</v>
      </c>
      <c r="L38" s="673"/>
      <c r="M38" s="673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8"/>
      <c r="AG38" s="278"/>
      <c r="AH38" s="278"/>
      <c r="AI38" s="278"/>
      <c r="AJ38" s="278"/>
      <c r="AK38" s="278"/>
      <c r="AL38" s="278"/>
      <c r="AM38" s="278"/>
      <c r="AN38" s="278"/>
      <c r="AO38" s="278"/>
      <c r="AP38" s="278"/>
      <c r="AQ38" s="278"/>
      <c r="AR38" s="278"/>
      <c r="AS38" s="278"/>
      <c r="AT38" s="278"/>
      <c r="AU38" s="278"/>
      <c r="AV38" s="278"/>
      <c r="AW38" s="278"/>
      <c r="AX38" s="278"/>
      <c r="AY38" s="278"/>
      <c r="AZ38" s="278"/>
      <c r="BA38" s="278"/>
      <c r="BB38" s="278"/>
      <c r="BC38" s="278"/>
      <c r="BD38" s="278"/>
      <c r="BE38" s="278"/>
      <c r="BF38" s="278"/>
      <c r="BG38" s="278"/>
      <c r="BH38" s="278"/>
      <c r="BI38" s="278"/>
      <c r="BJ38" s="278"/>
      <c r="BK38" s="278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78"/>
      <c r="CD38" s="278"/>
      <c r="CE38" s="278"/>
      <c r="CF38" s="278"/>
      <c r="CG38" s="278"/>
      <c r="CH38" s="278"/>
      <c r="CI38" s="278"/>
      <c r="CJ38" s="278"/>
      <c r="CK38" s="278"/>
      <c r="CL38" s="278"/>
      <c r="CM38" s="278"/>
      <c r="CN38" s="278"/>
      <c r="CO38" s="278"/>
      <c r="CP38" s="278"/>
      <c r="CQ38" s="278"/>
      <c r="CR38" s="278"/>
      <c r="CS38" s="278"/>
    </row>
    <row r="39" spans="1:97" s="273" customFormat="1" ht="24.6" thickTop="1" thickBot="1" x14ac:dyDescent="0.5">
      <c r="A39" s="341" t="s">
        <v>147</v>
      </c>
      <c r="B39" s="342"/>
      <c r="C39" s="499">
        <v>1055.6199999999999</v>
      </c>
      <c r="D39" s="499">
        <f>C39*1.2</f>
        <v>1266.7439999999999</v>
      </c>
      <c r="E39" s="571">
        <v>1500</v>
      </c>
      <c r="F39" s="292">
        <f>F40</f>
        <v>1200</v>
      </c>
      <c r="G39" s="589">
        <v>1500</v>
      </c>
      <c r="H39" s="648">
        <v>1500</v>
      </c>
      <c r="I39" s="549">
        <f t="shared" si="2"/>
        <v>233.25600000000009</v>
      </c>
      <c r="J39" s="675">
        <v>54278.45</v>
      </c>
      <c r="K39" s="675">
        <v>53085.86</v>
      </c>
      <c r="L39" s="676"/>
      <c r="M39" s="676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</row>
    <row r="40" spans="1:97" s="298" customFormat="1" ht="24.6" outlineLevel="1" thickTop="1" thickBot="1" x14ac:dyDescent="0.5">
      <c r="A40" s="337" t="s">
        <v>148</v>
      </c>
      <c r="B40" s="338"/>
      <c r="C40" s="340">
        <f>C41</f>
        <v>78382.64</v>
      </c>
      <c r="D40" s="340">
        <f>D41</f>
        <v>94059.167999999991</v>
      </c>
      <c r="E40" s="570">
        <f>E41</f>
        <v>60000</v>
      </c>
      <c r="F40" s="300">
        <v>1200</v>
      </c>
      <c r="G40" s="587">
        <f>G41</f>
        <v>66666.666666666672</v>
      </c>
      <c r="H40" s="408">
        <f>SUM(H41)</f>
        <v>90000</v>
      </c>
      <c r="I40" s="549">
        <f t="shared" si="2"/>
        <v>-34059.167999999991</v>
      </c>
      <c r="J40" s="674">
        <v>108584.27</v>
      </c>
      <c r="K40" s="674"/>
      <c r="L40" s="673"/>
      <c r="M40" s="673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278"/>
      <c r="AO40" s="278"/>
      <c r="AP40" s="278"/>
      <c r="AQ40" s="278"/>
      <c r="AR40" s="278"/>
      <c r="AS40" s="278"/>
      <c r="AT40" s="278"/>
      <c r="AU40" s="278"/>
      <c r="AV40" s="278"/>
      <c r="AW40" s="278"/>
      <c r="AX40" s="278"/>
      <c r="AY40" s="278"/>
      <c r="AZ40" s="278"/>
      <c r="BA40" s="278"/>
      <c r="BB40" s="278"/>
      <c r="BC40" s="278"/>
      <c r="BD40" s="278"/>
      <c r="BE40" s="278"/>
      <c r="BF40" s="278"/>
      <c r="BG40" s="278"/>
      <c r="BH40" s="278"/>
      <c r="BI40" s="278"/>
      <c r="BJ40" s="278"/>
      <c r="BK40" s="278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78"/>
      <c r="CD40" s="278"/>
      <c r="CE40" s="278"/>
      <c r="CF40" s="278"/>
      <c r="CG40" s="278"/>
      <c r="CH40" s="278"/>
      <c r="CI40" s="278"/>
      <c r="CJ40" s="278"/>
      <c r="CK40" s="278"/>
      <c r="CL40" s="278"/>
      <c r="CM40" s="278"/>
      <c r="CN40" s="278"/>
      <c r="CO40" s="278"/>
      <c r="CP40" s="278"/>
      <c r="CQ40" s="278"/>
      <c r="CR40" s="278"/>
      <c r="CS40" s="278"/>
    </row>
    <row r="41" spans="1:97" s="273" customFormat="1" ht="24.6" thickTop="1" thickBot="1" x14ac:dyDescent="0.5">
      <c r="A41" s="341" t="s">
        <v>149</v>
      </c>
      <c r="B41" s="342"/>
      <c r="C41" s="498">
        <v>78382.64</v>
      </c>
      <c r="D41" s="499">
        <f>C41*1.2</f>
        <v>94059.167999999991</v>
      </c>
      <c r="E41" s="571">
        <v>60000</v>
      </c>
      <c r="F41" s="292">
        <f>F42</f>
        <v>86000</v>
      </c>
      <c r="G41" s="588">
        <f>80000*10/12</f>
        <v>66666.666666666672</v>
      </c>
      <c r="H41" s="649">
        <v>90000</v>
      </c>
      <c r="I41" s="549">
        <f t="shared" si="2"/>
        <v>-34059.167999999991</v>
      </c>
      <c r="J41" s="675">
        <v>75281.539999999994</v>
      </c>
      <c r="K41" s="675"/>
      <c r="L41" s="676"/>
      <c r="M41" s="676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2"/>
      <c r="CM41" s="272"/>
      <c r="CN41" s="272"/>
      <c r="CO41" s="272"/>
      <c r="CP41" s="272"/>
      <c r="CQ41" s="272"/>
      <c r="CR41" s="272"/>
      <c r="CS41" s="272"/>
    </row>
    <row r="42" spans="1:97" s="298" customFormat="1" ht="24.6" outlineLevel="1" thickTop="1" thickBot="1" x14ac:dyDescent="0.5">
      <c r="A42" s="337" t="s">
        <v>150</v>
      </c>
      <c r="B42" s="338"/>
      <c r="C42" s="340">
        <f>SUM(C43:C45)</f>
        <v>41581.11</v>
      </c>
      <c r="D42" s="340">
        <f>D43</f>
        <v>49897.332000000002</v>
      </c>
      <c r="E42" s="570">
        <f>SUM(E43:E45)</f>
        <v>40000</v>
      </c>
      <c r="F42" s="300">
        <v>86000</v>
      </c>
      <c r="G42" s="587">
        <f>SUM(G43:G45)</f>
        <v>33333.333333333336</v>
      </c>
      <c r="H42" s="541">
        <f>SUM(H43:H45)</f>
        <v>50000</v>
      </c>
      <c r="I42" s="549">
        <f t="shared" si="2"/>
        <v>-9897.3320000000022</v>
      </c>
      <c r="J42" s="674"/>
      <c r="K42" s="674"/>
      <c r="L42" s="673"/>
      <c r="M42" s="673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8"/>
      <c r="AO42" s="278"/>
      <c r="AP42" s="278"/>
      <c r="AQ42" s="278"/>
      <c r="AR42" s="278"/>
      <c r="AS42" s="278"/>
      <c r="AT42" s="278"/>
      <c r="AU42" s="278"/>
      <c r="AV42" s="278"/>
      <c r="AW42" s="278"/>
      <c r="AX42" s="278"/>
      <c r="AY42" s="278"/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  <c r="BN42" s="278"/>
      <c r="BO42" s="278"/>
      <c r="BP42" s="278"/>
      <c r="BQ42" s="278"/>
      <c r="BR42" s="278"/>
      <c r="BS42" s="278"/>
      <c r="BT42" s="278"/>
      <c r="BU42" s="278"/>
      <c r="BV42" s="278"/>
      <c r="BW42" s="278"/>
      <c r="BX42" s="278"/>
      <c r="BY42" s="278"/>
      <c r="BZ42" s="278"/>
      <c r="CA42" s="278"/>
      <c r="CB42" s="278"/>
      <c r="CC42" s="278"/>
      <c r="CD42" s="278"/>
      <c r="CE42" s="278"/>
      <c r="CF42" s="278"/>
      <c r="CG42" s="278"/>
      <c r="CH42" s="278"/>
      <c r="CI42" s="278"/>
      <c r="CJ42" s="278"/>
      <c r="CK42" s="278"/>
      <c r="CL42" s="278"/>
      <c r="CM42" s="278"/>
      <c r="CN42" s="278"/>
      <c r="CO42" s="278"/>
      <c r="CP42" s="278"/>
      <c r="CQ42" s="278"/>
      <c r="CR42" s="278"/>
      <c r="CS42" s="278"/>
    </row>
    <row r="43" spans="1:97" s="273" customFormat="1" ht="24.6" thickTop="1" thickBot="1" x14ac:dyDescent="0.5">
      <c r="A43" s="341" t="s">
        <v>151</v>
      </c>
      <c r="B43" s="342"/>
      <c r="C43" s="498">
        <v>41581.11</v>
      </c>
      <c r="D43" s="499">
        <f>C43*1.2</f>
        <v>49897.332000000002</v>
      </c>
      <c r="E43" s="571">
        <v>40000</v>
      </c>
      <c r="F43" s="292">
        <f>SUM(F44:F46)</f>
        <v>32000</v>
      </c>
      <c r="G43" s="589">
        <f>E43*10/12</f>
        <v>33333.333333333336</v>
      </c>
      <c r="H43" s="648">
        <v>50000</v>
      </c>
      <c r="I43" s="549">
        <f t="shared" si="2"/>
        <v>-9897.3320000000022</v>
      </c>
      <c r="J43" s="677">
        <f>SUM(J33:J42)</f>
        <v>998801.76</v>
      </c>
      <c r="K43" s="675">
        <f>SUM(K33:K42)</f>
        <v>463534.28999999992</v>
      </c>
      <c r="L43" s="675">
        <f>K43+J43</f>
        <v>1462336.0499999998</v>
      </c>
      <c r="M43" s="676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2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2"/>
      <c r="BS43" s="272"/>
      <c r="BT43" s="272"/>
      <c r="BU43" s="272"/>
      <c r="BV43" s="272"/>
      <c r="BW43" s="272"/>
      <c r="BX43" s="272"/>
      <c r="BY43" s="272"/>
      <c r="BZ43" s="272"/>
      <c r="CA43" s="272"/>
      <c r="CB43" s="272"/>
      <c r="CC43" s="272"/>
      <c r="CD43" s="272"/>
      <c r="CE43" s="272"/>
      <c r="CF43" s="272"/>
      <c r="CG43" s="272"/>
      <c r="CH43" s="272"/>
      <c r="CI43" s="272"/>
      <c r="CJ43" s="272"/>
      <c r="CK43" s="272"/>
      <c r="CL43" s="272"/>
      <c r="CM43" s="272"/>
      <c r="CN43" s="272"/>
      <c r="CO43" s="272"/>
      <c r="CP43" s="272"/>
      <c r="CQ43" s="272"/>
      <c r="CR43" s="272"/>
      <c r="CS43" s="272"/>
    </row>
    <row r="44" spans="1:97" s="298" customFormat="1" ht="24.6" outlineLevel="1" thickTop="1" thickBot="1" x14ac:dyDescent="0.5">
      <c r="A44" s="341" t="s">
        <v>152</v>
      </c>
      <c r="B44" s="342"/>
      <c r="C44" s="498">
        <v>0</v>
      </c>
      <c r="D44" s="499">
        <f t="shared" si="3"/>
        <v>0</v>
      </c>
      <c r="E44" s="571">
        <v>0</v>
      </c>
      <c r="F44" s="300">
        <v>32000</v>
      </c>
      <c r="G44" s="589">
        <v>0</v>
      </c>
      <c r="H44" s="648">
        <v>0</v>
      </c>
      <c r="I44" s="549">
        <f t="shared" si="2"/>
        <v>0</v>
      </c>
      <c r="J44" s="673"/>
      <c r="K44" s="673"/>
      <c r="L44" s="673">
        <v>662609.66</v>
      </c>
      <c r="M44" s="673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8"/>
      <c r="AG44" s="278"/>
      <c r="AH44" s="278"/>
      <c r="AI44" s="278"/>
      <c r="AJ44" s="278"/>
      <c r="AK44" s="278"/>
      <c r="AL44" s="278"/>
      <c r="AM44" s="278"/>
      <c r="AN44" s="278"/>
      <c r="AO44" s="278"/>
      <c r="AP44" s="278"/>
      <c r="AQ44" s="278"/>
      <c r="AR44" s="278"/>
      <c r="AS44" s="278"/>
      <c r="AT44" s="278"/>
      <c r="AU44" s="278"/>
      <c r="AV44" s="278"/>
      <c r="AW44" s="278"/>
      <c r="AX44" s="278"/>
      <c r="AY44" s="278"/>
      <c r="AZ44" s="278"/>
      <c r="BA44" s="278"/>
      <c r="BB44" s="278"/>
      <c r="BC44" s="278"/>
      <c r="BD44" s="278"/>
      <c r="BE44" s="278"/>
      <c r="BF44" s="278"/>
      <c r="BG44" s="278"/>
      <c r="BH44" s="278"/>
      <c r="BI44" s="278"/>
      <c r="BJ44" s="278"/>
      <c r="BK44" s="278"/>
      <c r="BL44" s="278"/>
      <c r="BM44" s="278"/>
      <c r="BN44" s="278"/>
      <c r="BO44" s="278"/>
      <c r="BP44" s="278"/>
      <c r="BQ44" s="278"/>
      <c r="BR44" s="278"/>
      <c r="BS44" s="278"/>
      <c r="BT44" s="278"/>
      <c r="BU44" s="278"/>
      <c r="BV44" s="278"/>
      <c r="BW44" s="278"/>
      <c r="BX44" s="278"/>
      <c r="BY44" s="278"/>
      <c r="BZ44" s="278"/>
      <c r="CA44" s="278"/>
      <c r="CB44" s="278"/>
      <c r="CC44" s="278"/>
      <c r="CD44" s="278"/>
      <c r="CE44" s="278"/>
      <c r="CF44" s="278"/>
      <c r="CG44" s="278"/>
      <c r="CH44" s="278"/>
      <c r="CI44" s="278"/>
      <c r="CJ44" s="278"/>
      <c r="CK44" s="278"/>
      <c r="CL44" s="278"/>
      <c r="CM44" s="278"/>
      <c r="CN44" s="278"/>
      <c r="CO44" s="278"/>
      <c r="CP44" s="278"/>
      <c r="CQ44" s="278"/>
      <c r="CR44" s="278"/>
      <c r="CS44" s="278"/>
    </row>
    <row r="45" spans="1:97" s="298" customFormat="1" ht="24.6" outlineLevel="1" thickTop="1" thickBot="1" x14ac:dyDescent="0.5">
      <c r="A45" s="341" t="s">
        <v>153</v>
      </c>
      <c r="B45" s="342"/>
      <c r="C45" s="498">
        <v>0</v>
      </c>
      <c r="D45" s="499">
        <f t="shared" si="3"/>
        <v>0</v>
      </c>
      <c r="E45" s="571">
        <v>0</v>
      </c>
      <c r="F45" s="300">
        <v>0</v>
      </c>
      <c r="G45" s="589">
        <v>0</v>
      </c>
      <c r="H45" s="648">
        <v>0</v>
      </c>
      <c r="I45" s="549">
        <f t="shared" si="2"/>
        <v>0</v>
      </c>
      <c r="J45" s="673"/>
      <c r="K45" s="673"/>
      <c r="L45" s="673">
        <v>799726.39</v>
      </c>
      <c r="M45" s="673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8"/>
      <c r="AG45" s="278"/>
      <c r="AH45" s="278"/>
      <c r="AI45" s="278"/>
      <c r="AJ45" s="278"/>
      <c r="AK45" s="278"/>
      <c r="AL45" s="278"/>
      <c r="AM45" s="278"/>
      <c r="AN45" s="278"/>
      <c r="AO45" s="278"/>
      <c r="AP45" s="278"/>
      <c r="AQ45" s="278"/>
      <c r="AR45" s="278"/>
      <c r="AS45" s="278"/>
      <c r="AT45" s="278"/>
      <c r="AU45" s="278"/>
      <c r="AV45" s="278"/>
      <c r="AW45" s="278"/>
      <c r="AX45" s="278"/>
      <c r="AY45" s="278"/>
      <c r="AZ45" s="278"/>
      <c r="BA45" s="278"/>
      <c r="BB45" s="278"/>
      <c r="BC45" s="278"/>
      <c r="BD45" s="278"/>
      <c r="BE45" s="278"/>
      <c r="BF45" s="278"/>
      <c r="BG45" s="278"/>
      <c r="BH45" s="278"/>
      <c r="BI45" s="278"/>
      <c r="BJ45" s="278"/>
      <c r="BK45" s="278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8"/>
      <c r="BW45" s="278"/>
      <c r="BX45" s="278"/>
      <c r="BY45" s="278"/>
      <c r="BZ45" s="278"/>
      <c r="CA45" s="278"/>
      <c r="CB45" s="278"/>
      <c r="CC45" s="278"/>
      <c r="CD45" s="278"/>
      <c r="CE45" s="278"/>
      <c r="CF45" s="278"/>
      <c r="CG45" s="278"/>
      <c r="CH45" s="278"/>
      <c r="CI45" s="278"/>
      <c r="CJ45" s="278"/>
      <c r="CK45" s="278"/>
      <c r="CL45" s="278"/>
      <c r="CM45" s="278"/>
      <c r="CN45" s="278"/>
      <c r="CO45" s="278"/>
      <c r="CP45" s="278"/>
      <c r="CQ45" s="278"/>
      <c r="CR45" s="278"/>
      <c r="CS45" s="278"/>
    </row>
    <row r="46" spans="1:97" s="298" customFormat="1" ht="24.6" outlineLevel="1" thickTop="1" thickBot="1" x14ac:dyDescent="0.5">
      <c r="A46" s="337" t="s">
        <v>154</v>
      </c>
      <c r="B46" s="338"/>
      <c r="C46" s="340">
        <f>SUM(C47)</f>
        <v>26743.22</v>
      </c>
      <c r="D46" s="340">
        <f>D47</f>
        <v>32091.864000000001</v>
      </c>
      <c r="E46" s="570">
        <f>E47</f>
        <v>27000</v>
      </c>
      <c r="F46" s="300">
        <v>0</v>
      </c>
      <c r="G46" s="587">
        <f>G47</f>
        <v>22500</v>
      </c>
      <c r="H46" s="406">
        <f>SUM(H47)</f>
        <v>33000</v>
      </c>
      <c r="I46" s="549">
        <f t="shared" si="2"/>
        <v>-5091.8640000000014</v>
      </c>
      <c r="J46" s="673"/>
      <c r="K46" s="673"/>
      <c r="L46" s="673">
        <f>SUM(L44:L45)</f>
        <v>1462336.05</v>
      </c>
      <c r="M46" s="673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8"/>
      <c r="BR46" s="278"/>
      <c r="BS46" s="278"/>
      <c r="BT46" s="278"/>
      <c r="BU46" s="278"/>
      <c r="BV46" s="278"/>
      <c r="BW46" s="278"/>
      <c r="BX46" s="278"/>
      <c r="BY46" s="278"/>
      <c r="BZ46" s="278"/>
      <c r="CA46" s="278"/>
      <c r="CB46" s="278"/>
      <c r="CC46" s="278"/>
      <c r="CD46" s="278"/>
      <c r="CE46" s="278"/>
      <c r="CF46" s="278"/>
      <c r="CG46" s="278"/>
      <c r="CH46" s="278"/>
      <c r="CI46" s="278"/>
      <c r="CJ46" s="278"/>
      <c r="CK46" s="278"/>
      <c r="CL46" s="278"/>
      <c r="CM46" s="278"/>
      <c r="CN46" s="278"/>
      <c r="CO46" s="278"/>
      <c r="CP46" s="278"/>
      <c r="CQ46" s="278"/>
      <c r="CR46" s="278"/>
      <c r="CS46" s="278"/>
    </row>
    <row r="47" spans="1:97" s="273" customFormat="1" ht="24.6" thickTop="1" thickBot="1" x14ac:dyDescent="0.5">
      <c r="A47" s="341" t="s">
        <v>155</v>
      </c>
      <c r="B47" s="342"/>
      <c r="C47" s="498">
        <v>26743.22</v>
      </c>
      <c r="D47" s="499">
        <f>C47*1.2</f>
        <v>32091.864000000001</v>
      </c>
      <c r="E47" s="571">
        <v>27000</v>
      </c>
      <c r="F47" s="292">
        <f>F48</f>
        <v>11000</v>
      </c>
      <c r="G47" s="589">
        <f>E47*10/12</f>
        <v>22500</v>
      </c>
      <c r="H47" s="648">
        <v>33000</v>
      </c>
      <c r="I47" s="549">
        <f t="shared" si="2"/>
        <v>-5091.8640000000014</v>
      </c>
      <c r="J47" s="272"/>
      <c r="K47" s="272"/>
      <c r="L47" s="272"/>
      <c r="M47" s="272"/>
      <c r="N47" s="272"/>
      <c r="O47" s="272"/>
      <c r="P47" s="272"/>
      <c r="Q47" s="272"/>
      <c r="R47" s="272"/>
      <c r="S47" s="272"/>
      <c r="T47" s="272"/>
      <c r="U47" s="272"/>
      <c r="V47" s="272"/>
      <c r="W47" s="272"/>
      <c r="X47" s="272"/>
      <c r="Y47" s="272"/>
      <c r="Z47" s="272"/>
      <c r="AA47" s="272"/>
      <c r="AB47" s="272"/>
      <c r="AC47" s="272"/>
      <c r="AD47" s="272"/>
      <c r="AE47" s="272"/>
      <c r="AF47" s="272"/>
      <c r="AG47" s="272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272"/>
      <c r="AT47" s="272"/>
      <c r="AU47" s="272"/>
      <c r="AV47" s="272"/>
      <c r="AW47" s="272"/>
      <c r="AX47" s="272"/>
      <c r="AY47" s="272"/>
      <c r="AZ47" s="272"/>
      <c r="BA47" s="272"/>
      <c r="BB47" s="272"/>
      <c r="BC47" s="272"/>
      <c r="BD47" s="272"/>
      <c r="BE47" s="272"/>
      <c r="BF47" s="272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2"/>
      <c r="BS47" s="272"/>
      <c r="BT47" s="272"/>
      <c r="BU47" s="272"/>
      <c r="BV47" s="272"/>
      <c r="BW47" s="272"/>
      <c r="BX47" s="272"/>
      <c r="BY47" s="272"/>
      <c r="BZ47" s="272"/>
      <c r="CA47" s="272"/>
      <c r="CB47" s="272"/>
      <c r="CC47" s="272"/>
      <c r="CD47" s="272"/>
      <c r="CE47" s="272"/>
      <c r="CF47" s="272"/>
      <c r="CG47" s="272"/>
      <c r="CH47" s="272"/>
      <c r="CI47" s="272"/>
      <c r="CJ47" s="272"/>
      <c r="CK47" s="272"/>
      <c r="CL47" s="272"/>
      <c r="CM47" s="272"/>
      <c r="CN47" s="272"/>
      <c r="CO47" s="272"/>
      <c r="CP47" s="272"/>
      <c r="CQ47" s="272"/>
      <c r="CR47" s="272"/>
      <c r="CS47" s="272"/>
    </row>
    <row r="48" spans="1:97" s="298" customFormat="1" ht="24.6" outlineLevel="1" thickTop="1" thickBot="1" x14ac:dyDescent="0.5">
      <c r="A48" s="337" t="s">
        <v>156</v>
      </c>
      <c r="B48" s="338"/>
      <c r="C48" s="340">
        <f>SUM(C49)</f>
        <v>0</v>
      </c>
      <c r="D48" s="340">
        <f t="shared" si="3"/>
        <v>0</v>
      </c>
      <c r="E48" s="570">
        <f>E49</f>
        <v>3900</v>
      </c>
      <c r="F48" s="300">
        <v>11000</v>
      </c>
      <c r="G48" s="587">
        <f>G49</f>
        <v>3900</v>
      </c>
      <c r="H48" s="406">
        <f>SUM(H49)</f>
        <v>0</v>
      </c>
      <c r="I48" s="549">
        <f t="shared" si="2"/>
        <v>3900</v>
      </c>
      <c r="J48" s="278"/>
      <c r="K48" s="278"/>
      <c r="L48" s="278"/>
      <c r="M48" s="278"/>
      <c r="N48" s="278"/>
      <c r="O48" s="278"/>
      <c r="P48" s="278"/>
      <c r="Q48" s="278"/>
      <c r="R48" s="278"/>
      <c r="S48" s="278"/>
      <c r="T48" s="278"/>
      <c r="U48" s="278"/>
      <c r="V48" s="278"/>
      <c r="W48" s="278"/>
      <c r="X48" s="278"/>
      <c r="Y48" s="278"/>
      <c r="Z48" s="278"/>
      <c r="AA48" s="278"/>
      <c r="AB48" s="278"/>
      <c r="AC48" s="278"/>
      <c r="AD48" s="278"/>
      <c r="AE48" s="278"/>
      <c r="AF48" s="278"/>
      <c r="AG48" s="278"/>
      <c r="AH48" s="278"/>
      <c r="AI48" s="278"/>
      <c r="AJ48" s="278"/>
      <c r="AK48" s="278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8"/>
      <c r="AZ48" s="278"/>
      <c r="BA48" s="278"/>
      <c r="BB48" s="278"/>
      <c r="BC48" s="278"/>
      <c r="BD48" s="278"/>
      <c r="BE48" s="278"/>
      <c r="BF48" s="278"/>
      <c r="BG48" s="278"/>
      <c r="BH48" s="278"/>
      <c r="BI48" s="278"/>
      <c r="BJ48" s="278"/>
      <c r="BK48" s="278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278"/>
      <c r="BW48" s="278"/>
      <c r="BX48" s="278"/>
      <c r="BY48" s="278"/>
      <c r="BZ48" s="278"/>
      <c r="CA48" s="278"/>
      <c r="CB48" s="278"/>
      <c r="CC48" s="278"/>
      <c r="CD48" s="278"/>
      <c r="CE48" s="278"/>
      <c r="CF48" s="278"/>
      <c r="CG48" s="278"/>
      <c r="CH48" s="278"/>
      <c r="CI48" s="278"/>
      <c r="CJ48" s="278"/>
      <c r="CK48" s="278"/>
      <c r="CL48" s="278"/>
      <c r="CM48" s="278"/>
      <c r="CN48" s="278"/>
      <c r="CO48" s="278"/>
      <c r="CP48" s="278"/>
      <c r="CQ48" s="278"/>
      <c r="CR48" s="278"/>
      <c r="CS48" s="278"/>
    </row>
    <row r="49" spans="1:97" s="273" customFormat="1" ht="24.6" thickTop="1" thickBot="1" x14ac:dyDescent="0.5">
      <c r="A49" s="341" t="s">
        <v>157</v>
      </c>
      <c r="B49" s="342"/>
      <c r="C49" s="498">
        <v>0</v>
      </c>
      <c r="D49" s="499">
        <f t="shared" si="3"/>
        <v>0</v>
      </c>
      <c r="E49" s="571">
        <v>3900</v>
      </c>
      <c r="F49" s="292">
        <f>F50</f>
        <v>3900</v>
      </c>
      <c r="G49" s="589">
        <v>3900</v>
      </c>
      <c r="H49" s="648">
        <v>0</v>
      </c>
      <c r="I49" s="549">
        <f t="shared" si="2"/>
        <v>3900</v>
      </c>
      <c r="J49" s="272"/>
      <c r="K49" s="272"/>
      <c r="L49" s="272"/>
      <c r="M49" s="272"/>
      <c r="N49" s="272"/>
      <c r="O49" s="272"/>
      <c r="P49" s="272"/>
      <c r="Q49" s="272"/>
      <c r="R49" s="272"/>
      <c r="S49" s="272"/>
      <c r="T49" s="272"/>
      <c r="U49" s="272"/>
      <c r="V49" s="272"/>
      <c r="W49" s="272"/>
      <c r="X49" s="272"/>
      <c r="Y49" s="272"/>
      <c r="Z49" s="272"/>
      <c r="AA49" s="272"/>
      <c r="AB49" s="272"/>
      <c r="AC49" s="272"/>
      <c r="AD49" s="272"/>
      <c r="AE49" s="272"/>
      <c r="AF49" s="272"/>
      <c r="AG49" s="272"/>
      <c r="AH49" s="272"/>
      <c r="AI49" s="272"/>
      <c r="AJ49" s="272"/>
      <c r="AK49" s="272"/>
      <c r="AL49" s="272"/>
      <c r="AM49" s="272"/>
      <c r="AN49" s="272"/>
      <c r="AO49" s="272"/>
      <c r="AP49" s="272"/>
      <c r="AQ49" s="272"/>
      <c r="AR49" s="272"/>
      <c r="AS49" s="272"/>
      <c r="AT49" s="272"/>
      <c r="AU49" s="272"/>
      <c r="AV49" s="272"/>
      <c r="AW49" s="272"/>
      <c r="AX49" s="272"/>
      <c r="AY49" s="272"/>
      <c r="AZ49" s="272"/>
      <c r="BA49" s="272"/>
      <c r="BB49" s="272"/>
      <c r="BC49" s="272"/>
      <c r="BD49" s="272"/>
      <c r="BE49" s="272"/>
      <c r="BF49" s="272"/>
      <c r="BG49" s="272"/>
      <c r="BH49" s="272"/>
      <c r="BI49" s="272"/>
      <c r="BJ49" s="272"/>
      <c r="BK49" s="272"/>
      <c r="BL49" s="272"/>
      <c r="BM49" s="272"/>
      <c r="BN49" s="272"/>
      <c r="BO49" s="272"/>
      <c r="BP49" s="272"/>
      <c r="BQ49" s="272"/>
      <c r="BR49" s="272"/>
      <c r="BS49" s="272"/>
      <c r="BT49" s="272"/>
      <c r="BU49" s="272"/>
      <c r="BV49" s="272"/>
      <c r="BW49" s="272"/>
      <c r="BX49" s="272"/>
      <c r="BY49" s="272"/>
      <c r="BZ49" s="272"/>
      <c r="CA49" s="272"/>
      <c r="CB49" s="272"/>
      <c r="CC49" s="272"/>
      <c r="CD49" s="272"/>
      <c r="CE49" s="272"/>
      <c r="CF49" s="272"/>
      <c r="CG49" s="272"/>
      <c r="CH49" s="272"/>
      <c r="CI49" s="272"/>
      <c r="CJ49" s="272"/>
      <c r="CK49" s="272"/>
      <c r="CL49" s="272"/>
      <c r="CM49" s="272"/>
      <c r="CN49" s="272"/>
      <c r="CO49" s="272"/>
      <c r="CP49" s="272"/>
      <c r="CQ49" s="272"/>
      <c r="CR49" s="272"/>
      <c r="CS49" s="272"/>
    </row>
    <row r="50" spans="1:97" s="298" customFormat="1" ht="24.6" outlineLevel="1" thickTop="1" thickBot="1" x14ac:dyDescent="0.5">
      <c r="A50" s="337" t="s">
        <v>158</v>
      </c>
      <c r="B50" s="338"/>
      <c r="C50" s="340">
        <f>SUM(C51:C52)</f>
        <v>178808.36</v>
      </c>
      <c r="D50" s="340">
        <f>SUM(D51:D52)</f>
        <v>214570.03199999998</v>
      </c>
      <c r="E50" s="570">
        <f>SUM(E51:E52)</f>
        <v>165000</v>
      </c>
      <c r="F50" s="300">
        <v>3900</v>
      </c>
      <c r="G50" s="587">
        <f>SUM(G51:G52)</f>
        <v>137500</v>
      </c>
      <c r="H50" s="406">
        <f>SUM(H51:H52)</f>
        <v>200000</v>
      </c>
      <c r="I50" s="549">
        <f t="shared" si="2"/>
        <v>-49570.031999999977</v>
      </c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8"/>
      <c r="AA50" s="278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8"/>
      <c r="AU50" s="278"/>
      <c r="AV50" s="278"/>
      <c r="AW50" s="278"/>
      <c r="AX50" s="278"/>
      <c r="AY50" s="278"/>
      <c r="AZ50" s="278"/>
      <c r="BA50" s="278"/>
      <c r="BB50" s="278"/>
      <c r="BC50" s="278"/>
      <c r="BD50" s="278"/>
      <c r="BE50" s="278"/>
      <c r="BF50" s="278"/>
      <c r="BG50" s="278"/>
      <c r="BH50" s="278"/>
      <c r="BI50" s="278"/>
      <c r="BJ50" s="278"/>
      <c r="BK50" s="278"/>
      <c r="BL50" s="278"/>
      <c r="BM50" s="278"/>
      <c r="BN50" s="278"/>
      <c r="BO50" s="278"/>
      <c r="BP50" s="278"/>
      <c r="BQ50" s="278"/>
      <c r="BR50" s="278"/>
      <c r="BS50" s="278"/>
      <c r="BT50" s="278"/>
      <c r="BU50" s="278"/>
      <c r="BV50" s="278"/>
      <c r="BW50" s="278"/>
      <c r="BX50" s="278"/>
      <c r="BY50" s="278"/>
      <c r="BZ50" s="278"/>
      <c r="CA50" s="278"/>
      <c r="CB50" s="278"/>
      <c r="CC50" s="278"/>
      <c r="CD50" s="278"/>
      <c r="CE50" s="278"/>
      <c r="CF50" s="278"/>
      <c r="CG50" s="278"/>
      <c r="CH50" s="278"/>
      <c r="CI50" s="278"/>
      <c r="CJ50" s="278"/>
      <c r="CK50" s="278"/>
      <c r="CL50" s="278"/>
      <c r="CM50" s="278"/>
      <c r="CN50" s="278"/>
      <c r="CO50" s="278"/>
      <c r="CP50" s="278"/>
      <c r="CQ50" s="278"/>
      <c r="CR50" s="278"/>
      <c r="CS50" s="278"/>
    </row>
    <row r="51" spans="1:97" s="273" customFormat="1" ht="24.6" thickTop="1" thickBot="1" x14ac:dyDescent="0.5">
      <c r="A51" s="341" t="s">
        <v>159</v>
      </c>
      <c r="B51" s="342"/>
      <c r="C51" s="498">
        <v>0</v>
      </c>
      <c r="D51" s="499">
        <f t="shared" si="3"/>
        <v>0</v>
      </c>
      <c r="E51" s="571">
        <v>0</v>
      </c>
      <c r="F51" s="292">
        <f>SUM(F52:F53)</f>
        <v>-859.19529499999999</v>
      </c>
      <c r="G51" s="589">
        <v>0</v>
      </c>
      <c r="H51" s="648">
        <v>0</v>
      </c>
      <c r="I51" s="549">
        <f t="shared" si="2"/>
        <v>0</v>
      </c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72"/>
      <c r="Y51" s="272"/>
      <c r="Z51" s="272"/>
      <c r="AA51" s="272"/>
      <c r="AB51" s="272"/>
      <c r="AC51" s="272"/>
      <c r="AD51" s="272"/>
      <c r="AE51" s="272"/>
      <c r="AF51" s="272"/>
      <c r="AG51" s="272"/>
      <c r="AH51" s="272"/>
      <c r="AI51" s="272"/>
      <c r="AJ51" s="272"/>
      <c r="AK51" s="272"/>
      <c r="AL51" s="272"/>
      <c r="AM51" s="272"/>
      <c r="AN51" s="272"/>
      <c r="AO51" s="272"/>
      <c r="AP51" s="272"/>
      <c r="AQ51" s="272"/>
      <c r="AR51" s="272"/>
      <c r="AS51" s="272"/>
      <c r="AT51" s="272"/>
      <c r="AU51" s="272"/>
      <c r="AV51" s="272"/>
      <c r="AW51" s="272"/>
      <c r="AX51" s="272"/>
      <c r="AY51" s="272"/>
      <c r="AZ51" s="272"/>
      <c r="BA51" s="272"/>
      <c r="BB51" s="272"/>
      <c r="BC51" s="272"/>
      <c r="BD51" s="272"/>
      <c r="BE51" s="272"/>
      <c r="BF51" s="272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2"/>
      <c r="BS51" s="272"/>
      <c r="BT51" s="272"/>
      <c r="BU51" s="272"/>
      <c r="BV51" s="272"/>
      <c r="BW51" s="272"/>
      <c r="BX51" s="272"/>
      <c r="BY51" s="272"/>
      <c r="BZ51" s="272"/>
      <c r="CA51" s="272"/>
      <c r="CB51" s="272"/>
      <c r="CC51" s="272"/>
      <c r="CD51" s="272"/>
      <c r="CE51" s="272"/>
      <c r="CF51" s="272"/>
      <c r="CG51" s="272"/>
      <c r="CH51" s="272"/>
      <c r="CI51" s="272"/>
      <c r="CJ51" s="272"/>
      <c r="CK51" s="272"/>
      <c r="CL51" s="272"/>
      <c r="CM51" s="272"/>
      <c r="CN51" s="272"/>
      <c r="CO51" s="272"/>
      <c r="CP51" s="272"/>
      <c r="CQ51" s="272"/>
      <c r="CR51" s="272"/>
      <c r="CS51" s="272"/>
    </row>
    <row r="52" spans="1:97" s="298" customFormat="1" ht="24.6" outlineLevel="1" thickTop="1" thickBot="1" x14ac:dyDescent="0.5">
      <c r="A52" s="341" t="s">
        <v>160</v>
      </c>
      <c r="B52" s="342"/>
      <c r="C52" s="498">
        <v>178808.36</v>
      </c>
      <c r="D52" s="499">
        <f>C52*1.2</f>
        <v>214570.03199999998</v>
      </c>
      <c r="E52" s="571">
        <v>165000</v>
      </c>
      <c r="F52" s="300">
        <v>0</v>
      </c>
      <c r="G52" s="589">
        <f>E52*10/12</f>
        <v>137500</v>
      </c>
      <c r="H52" s="648">
        <v>200000</v>
      </c>
      <c r="I52" s="549">
        <f t="shared" si="2"/>
        <v>-49570.031999999977</v>
      </c>
      <c r="J52" s="278"/>
      <c r="K52" s="278"/>
      <c r="L52" s="278"/>
      <c r="M52" s="278"/>
      <c r="N52" s="278"/>
      <c r="O52" s="278"/>
      <c r="P52" s="278"/>
      <c r="Q52" s="278"/>
      <c r="R52" s="278"/>
      <c r="S52" s="278"/>
      <c r="T52" s="278"/>
      <c r="U52" s="278"/>
      <c r="V52" s="278"/>
      <c r="W52" s="278"/>
      <c r="X52" s="278"/>
      <c r="Y52" s="278"/>
      <c r="Z52" s="278"/>
      <c r="AA52" s="278"/>
      <c r="AB52" s="278"/>
      <c r="AC52" s="278"/>
      <c r="AD52" s="278"/>
      <c r="AE52" s="278"/>
      <c r="AF52" s="278"/>
      <c r="AG52" s="278"/>
      <c r="AH52" s="278"/>
      <c r="AI52" s="278"/>
      <c r="AJ52" s="278"/>
      <c r="AK52" s="278"/>
      <c r="AL52" s="278"/>
      <c r="AM52" s="278"/>
      <c r="AN52" s="278"/>
      <c r="AO52" s="278"/>
      <c r="AP52" s="278"/>
      <c r="AQ52" s="278"/>
      <c r="AR52" s="278"/>
      <c r="AS52" s="278"/>
      <c r="AT52" s="278"/>
      <c r="AU52" s="278"/>
      <c r="AV52" s="278"/>
      <c r="AW52" s="278"/>
      <c r="AX52" s="278"/>
      <c r="AY52" s="278"/>
      <c r="AZ52" s="278"/>
      <c r="BA52" s="278"/>
      <c r="BB52" s="278"/>
      <c r="BC52" s="278"/>
      <c r="BD52" s="278"/>
      <c r="BE52" s="278"/>
      <c r="BF52" s="278"/>
      <c r="BG52" s="278"/>
      <c r="BH52" s="278"/>
      <c r="BI52" s="278"/>
      <c r="BJ52" s="278"/>
      <c r="BK52" s="278"/>
      <c r="BL52" s="278"/>
      <c r="BM52" s="278"/>
      <c r="BN52" s="278"/>
      <c r="BO52" s="278"/>
      <c r="BP52" s="278"/>
      <c r="BQ52" s="278"/>
      <c r="BR52" s="278"/>
      <c r="BS52" s="278"/>
      <c r="BT52" s="278"/>
      <c r="BU52" s="278"/>
      <c r="BV52" s="278"/>
      <c r="BW52" s="278"/>
      <c r="BX52" s="278"/>
      <c r="BY52" s="278"/>
      <c r="BZ52" s="278"/>
      <c r="CA52" s="278"/>
      <c r="CB52" s="278"/>
      <c r="CC52" s="278"/>
      <c r="CD52" s="278"/>
      <c r="CE52" s="278"/>
      <c r="CF52" s="278"/>
      <c r="CG52" s="278"/>
      <c r="CH52" s="278"/>
      <c r="CI52" s="278"/>
      <c r="CJ52" s="278"/>
      <c r="CK52" s="278"/>
      <c r="CL52" s="278"/>
      <c r="CM52" s="278"/>
      <c r="CN52" s="278"/>
      <c r="CO52" s="278"/>
      <c r="CP52" s="278"/>
      <c r="CQ52" s="278"/>
      <c r="CR52" s="278"/>
      <c r="CS52" s="278"/>
    </row>
    <row r="53" spans="1:97" s="298" customFormat="1" ht="24.6" outlineLevel="1" thickTop="1" thickBot="1" x14ac:dyDescent="0.5">
      <c r="A53" s="337" t="s">
        <v>161</v>
      </c>
      <c r="B53" s="338"/>
      <c r="C53" s="340">
        <f>SUM(C54)</f>
        <v>26.07</v>
      </c>
      <c r="D53" s="340">
        <f t="shared" si="3"/>
        <v>27.3735</v>
      </c>
      <c r="E53" s="570">
        <f>E54</f>
        <v>0</v>
      </c>
      <c r="F53" s="300">
        <f>D53*1.03-887.39</f>
        <v>-859.19529499999999</v>
      </c>
      <c r="G53" s="587">
        <f>G54</f>
        <v>100</v>
      </c>
      <c r="H53" s="406">
        <f>SUM(H54)</f>
        <v>0</v>
      </c>
      <c r="I53" s="549">
        <f t="shared" si="2"/>
        <v>-27.3735</v>
      </c>
      <c r="J53" s="278"/>
      <c r="K53" s="278"/>
      <c r="L53" s="278"/>
      <c r="M53" s="278"/>
      <c r="N53" s="278"/>
      <c r="O53" s="278"/>
      <c r="P53" s="278"/>
      <c r="Q53" s="278"/>
      <c r="R53" s="278"/>
      <c r="S53" s="278"/>
      <c r="T53" s="278"/>
      <c r="U53" s="278"/>
      <c r="V53" s="278"/>
      <c r="W53" s="278"/>
      <c r="X53" s="278"/>
      <c r="Y53" s="278"/>
      <c r="Z53" s="278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278"/>
      <c r="AO53" s="278"/>
      <c r="AP53" s="278"/>
      <c r="AQ53" s="278"/>
      <c r="AR53" s="278"/>
      <c r="AS53" s="278"/>
      <c r="AT53" s="278"/>
      <c r="AU53" s="278"/>
      <c r="AV53" s="278"/>
      <c r="AW53" s="278"/>
      <c r="AX53" s="278"/>
      <c r="AY53" s="278"/>
      <c r="AZ53" s="278"/>
      <c r="BA53" s="278"/>
      <c r="BB53" s="278"/>
      <c r="BC53" s="278"/>
      <c r="BD53" s="278"/>
      <c r="BE53" s="278"/>
      <c r="BF53" s="278"/>
      <c r="BG53" s="278"/>
      <c r="BH53" s="278"/>
      <c r="BI53" s="278"/>
      <c r="BJ53" s="278"/>
      <c r="BK53" s="278"/>
      <c r="BL53" s="278"/>
      <c r="BM53" s="278"/>
      <c r="BN53" s="278"/>
      <c r="BO53" s="278"/>
      <c r="BP53" s="278"/>
      <c r="BQ53" s="278"/>
      <c r="BR53" s="278"/>
      <c r="BS53" s="278"/>
      <c r="BT53" s="278"/>
      <c r="BU53" s="278"/>
      <c r="BV53" s="278"/>
      <c r="BW53" s="278"/>
      <c r="BX53" s="278"/>
      <c r="BY53" s="278"/>
      <c r="BZ53" s="278"/>
      <c r="CA53" s="278"/>
      <c r="CB53" s="278"/>
      <c r="CC53" s="278"/>
      <c r="CD53" s="278"/>
      <c r="CE53" s="278"/>
      <c r="CF53" s="278"/>
      <c r="CG53" s="278"/>
      <c r="CH53" s="278"/>
      <c r="CI53" s="278"/>
      <c r="CJ53" s="278"/>
      <c r="CK53" s="278"/>
      <c r="CL53" s="278"/>
      <c r="CM53" s="278"/>
      <c r="CN53" s="278"/>
      <c r="CO53" s="278"/>
      <c r="CP53" s="278"/>
      <c r="CQ53" s="278"/>
      <c r="CR53" s="278"/>
      <c r="CS53" s="278"/>
    </row>
    <row r="54" spans="1:97" s="273" customFormat="1" ht="24.6" thickTop="1" thickBot="1" x14ac:dyDescent="0.5">
      <c r="A54" s="341" t="s">
        <v>162</v>
      </c>
      <c r="B54" s="342"/>
      <c r="C54" s="498">
        <v>26.07</v>
      </c>
      <c r="D54" s="499">
        <f>C54</f>
        <v>26.07</v>
      </c>
      <c r="E54" s="571">
        <v>0</v>
      </c>
      <c r="F54" s="292">
        <f>F55</f>
        <v>300</v>
      </c>
      <c r="G54" s="589">
        <v>100</v>
      </c>
      <c r="H54" s="648">
        <v>0</v>
      </c>
      <c r="I54" s="549">
        <f t="shared" si="2"/>
        <v>-26.07</v>
      </c>
      <c r="J54" s="272"/>
      <c r="K54" s="272"/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72"/>
      <c r="AB54" s="272"/>
      <c r="AC54" s="272"/>
      <c r="AD54" s="272"/>
      <c r="AE54" s="272"/>
      <c r="AF54" s="272"/>
      <c r="AG54" s="272"/>
      <c r="AH54" s="272"/>
      <c r="AI54" s="272"/>
      <c r="AJ54" s="272"/>
      <c r="AK54" s="272"/>
      <c r="AL54" s="272"/>
      <c r="AM54" s="272"/>
      <c r="AN54" s="272"/>
      <c r="AO54" s="272"/>
      <c r="AP54" s="272"/>
      <c r="AQ54" s="272"/>
      <c r="AR54" s="272"/>
      <c r="AS54" s="272"/>
      <c r="AT54" s="272"/>
      <c r="AU54" s="272"/>
      <c r="AV54" s="272"/>
      <c r="AW54" s="272"/>
      <c r="AX54" s="272"/>
      <c r="AY54" s="272"/>
      <c r="AZ54" s="272"/>
      <c r="BA54" s="272"/>
      <c r="BB54" s="272"/>
      <c r="BC54" s="272"/>
      <c r="BD54" s="272"/>
      <c r="BE54" s="272"/>
      <c r="BF54" s="272"/>
      <c r="BG54" s="272"/>
      <c r="BH54" s="272"/>
      <c r="BI54" s="272"/>
      <c r="BJ54" s="272"/>
      <c r="BK54" s="272"/>
      <c r="BL54" s="272"/>
      <c r="BM54" s="272"/>
      <c r="BN54" s="272"/>
      <c r="BO54" s="272"/>
      <c r="BP54" s="272"/>
      <c r="BQ54" s="272"/>
      <c r="BR54" s="272"/>
      <c r="BS54" s="272"/>
      <c r="BT54" s="272"/>
      <c r="BU54" s="272"/>
      <c r="BV54" s="272"/>
      <c r="BW54" s="272"/>
      <c r="BX54" s="272"/>
      <c r="BY54" s="272"/>
      <c r="BZ54" s="272"/>
      <c r="CA54" s="272"/>
      <c r="CB54" s="272"/>
      <c r="CC54" s="272"/>
      <c r="CD54" s="272"/>
      <c r="CE54" s="272"/>
      <c r="CF54" s="272"/>
      <c r="CG54" s="272"/>
      <c r="CH54" s="272"/>
      <c r="CI54" s="272"/>
      <c r="CJ54" s="272"/>
      <c r="CK54" s="272"/>
      <c r="CL54" s="272"/>
      <c r="CM54" s="272"/>
      <c r="CN54" s="272"/>
      <c r="CO54" s="272"/>
      <c r="CP54" s="272"/>
      <c r="CQ54" s="272"/>
      <c r="CR54" s="272"/>
      <c r="CS54" s="272"/>
    </row>
    <row r="55" spans="1:97" s="298" customFormat="1" ht="24.6" outlineLevel="1" thickTop="1" thickBot="1" x14ac:dyDescent="0.5">
      <c r="A55" s="337" t="s">
        <v>163</v>
      </c>
      <c r="B55" s="338"/>
      <c r="C55" s="340">
        <f>SUM(C56)</f>
        <v>3366.08</v>
      </c>
      <c r="D55" s="340">
        <f>D56</f>
        <v>3770.0096000000003</v>
      </c>
      <c r="E55" s="570">
        <f>E56</f>
        <v>5500</v>
      </c>
      <c r="F55" s="300">
        <v>300</v>
      </c>
      <c r="G55" s="587">
        <f>G56</f>
        <v>6800</v>
      </c>
      <c r="H55" s="406">
        <f>SUM(H56)</f>
        <v>4000</v>
      </c>
      <c r="I55" s="549">
        <f t="shared" si="2"/>
        <v>1729.9903999999997</v>
      </c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278"/>
      <c r="AO55" s="278"/>
      <c r="AP55" s="278"/>
      <c r="AQ55" s="278"/>
      <c r="AR55" s="278"/>
      <c r="AS55" s="278"/>
      <c r="AT55" s="278"/>
      <c r="AU55" s="278"/>
      <c r="AV55" s="278"/>
      <c r="AW55" s="278"/>
      <c r="AX55" s="278"/>
      <c r="AY55" s="278"/>
      <c r="AZ55" s="278"/>
      <c r="BA55" s="278"/>
      <c r="BB55" s="278"/>
      <c r="BC55" s="278"/>
      <c r="BD55" s="278"/>
      <c r="BE55" s="278"/>
      <c r="BF55" s="278"/>
      <c r="BG55" s="278"/>
      <c r="BH55" s="278"/>
      <c r="BI55" s="278"/>
      <c r="BJ55" s="278"/>
      <c r="BK55" s="278"/>
      <c r="BL55" s="278"/>
      <c r="BM55" s="278"/>
      <c r="BN55" s="278"/>
      <c r="BO55" s="278"/>
      <c r="BP55" s="278"/>
      <c r="BQ55" s="278"/>
      <c r="BR55" s="278"/>
      <c r="BS55" s="278"/>
      <c r="BT55" s="278"/>
      <c r="BU55" s="278"/>
      <c r="BV55" s="278"/>
      <c r="BW55" s="278"/>
      <c r="BX55" s="278"/>
      <c r="BY55" s="278"/>
      <c r="BZ55" s="278"/>
      <c r="CA55" s="278"/>
      <c r="CB55" s="278"/>
      <c r="CC55" s="278"/>
      <c r="CD55" s="278"/>
      <c r="CE55" s="278"/>
      <c r="CF55" s="278"/>
      <c r="CG55" s="278"/>
      <c r="CH55" s="278"/>
      <c r="CI55" s="278"/>
      <c r="CJ55" s="278"/>
      <c r="CK55" s="278"/>
      <c r="CL55" s="278"/>
      <c r="CM55" s="278"/>
      <c r="CN55" s="278"/>
      <c r="CO55" s="278"/>
      <c r="CP55" s="278"/>
      <c r="CQ55" s="278"/>
      <c r="CR55" s="278"/>
      <c r="CS55" s="278"/>
    </row>
    <row r="56" spans="1:97" s="273" customFormat="1" ht="24.6" thickTop="1" thickBot="1" x14ac:dyDescent="0.5">
      <c r="A56" s="341" t="s">
        <v>164</v>
      </c>
      <c r="B56" s="342"/>
      <c r="C56" s="499">
        <v>3366.08</v>
      </c>
      <c r="D56" s="499">
        <f>C56*1.12</f>
        <v>3770.0096000000003</v>
      </c>
      <c r="E56" s="571">
        <v>5500</v>
      </c>
      <c r="F56" s="292">
        <f>F58</f>
        <v>3600</v>
      </c>
      <c r="G56" s="589">
        <v>6800</v>
      </c>
      <c r="H56" s="648">
        <v>4000</v>
      </c>
      <c r="I56" s="549">
        <f t="shared" si="2"/>
        <v>1729.9903999999997</v>
      </c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272"/>
      <c r="AR56" s="272"/>
      <c r="AS56" s="272"/>
      <c r="AT56" s="272"/>
      <c r="AU56" s="272"/>
      <c r="AV56" s="272"/>
      <c r="AW56" s="272"/>
      <c r="AX56" s="272"/>
      <c r="AY56" s="272"/>
      <c r="AZ56" s="272"/>
      <c r="BA56" s="272"/>
      <c r="BB56" s="272"/>
      <c r="BC56" s="272"/>
      <c r="BD56" s="272"/>
      <c r="BE56" s="272"/>
      <c r="BF56" s="272"/>
      <c r="BG56" s="272"/>
      <c r="BH56" s="272"/>
      <c r="BI56" s="272"/>
      <c r="BJ56" s="272"/>
      <c r="BK56" s="272"/>
      <c r="BL56" s="272"/>
      <c r="BM56" s="272"/>
      <c r="BN56" s="272"/>
      <c r="BO56" s="272"/>
      <c r="BP56" s="272"/>
      <c r="BQ56" s="272"/>
      <c r="BR56" s="272"/>
      <c r="BS56" s="272"/>
      <c r="BT56" s="272"/>
      <c r="BU56" s="272"/>
      <c r="BV56" s="272"/>
      <c r="BW56" s="272"/>
      <c r="BX56" s="272"/>
      <c r="BY56" s="272"/>
      <c r="BZ56" s="272"/>
      <c r="CA56" s="272"/>
      <c r="CB56" s="272"/>
      <c r="CC56" s="272"/>
      <c r="CD56" s="272"/>
      <c r="CE56" s="272"/>
      <c r="CF56" s="272"/>
      <c r="CG56" s="272"/>
      <c r="CH56" s="272"/>
      <c r="CI56" s="272"/>
      <c r="CJ56" s="272"/>
      <c r="CK56" s="272"/>
      <c r="CL56" s="272"/>
      <c r="CM56" s="272"/>
      <c r="CN56" s="272"/>
      <c r="CO56" s="272"/>
      <c r="CP56" s="272"/>
      <c r="CQ56" s="272"/>
      <c r="CR56" s="272"/>
      <c r="CS56" s="272"/>
    </row>
    <row r="57" spans="1:97" s="273" customFormat="1" x14ac:dyDescent="0.45">
      <c r="A57" s="618" t="s">
        <v>165</v>
      </c>
      <c r="B57" s="619"/>
      <c r="C57" s="620"/>
      <c r="D57" s="620"/>
      <c r="E57" s="621">
        <v>2805</v>
      </c>
      <c r="F57" s="622"/>
      <c r="G57" s="589"/>
      <c r="H57" s="648">
        <v>2700</v>
      </c>
      <c r="I57" s="549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272"/>
      <c r="AR57" s="272"/>
      <c r="AS57" s="272"/>
      <c r="AT57" s="272"/>
      <c r="AU57" s="272"/>
      <c r="AV57" s="272"/>
      <c r="AW57" s="272"/>
      <c r="AX57" s="272"/>
      <c r="AY57" s="272"/>
      <c r="AZ57" s="272"/>
      <c r="BA57" s="272"/>
      <c r="BB57" s="272"/>
      <c r="BC57" s="272"/>
      <c r="BD57" s="272"/>
      <c r="BE57" s="272"/>
      <c r="BF57" s="272"/>
      <c r="BG57" s="272"/>
      <c r="BH57" s="272"/>
      <c r="BI57" s="272"/>
      <c r="BJ57" s="272"/>
      <c r="BK57" s="272"/>
      <c r="BL57" s="272"/>
      <c r="BM57" s="272"/>
      <c r="BN57" s="272"/>
      <c r="BO57" s="272"/>
      <c r="BP57" s="272"/>
      <c r="BQ57" s="272"/>
      <c r="BR57" s="272"/>
      <c r="BS57" s="272"/>
      <c r="BT57" s="272"/>
      <c r="BU57" s="272"/>
      <c r="BV57" s="272"/>
      <c r="BW57" s="272"/>
      <c r="BX57" s="272"/>
      <c r="BY57" s="272"/>
      <c r="BZ57" s="272"/>
      <c r="CA57" s="272"/>
      <c r="CB57" s="272"/>
      <c r="CC57" s="272"/>
      <c r="CD57" s="272"/>
      <c r="CE57" s="272"/>
      <c r="CF57" s="272"/>
      <c r="CG57" s="272"/>
      <c r="CH57" s="272"/>
      <c r="CI57" s="272"/>
      <c r="CJ57" s="272"/>
      <c r="CK57" s="272"/>
      <c r="CL57" s="272"/>
      <c r="CM57" s="272"/>
      <c r="CN57" s="272"/>
      <c r="CO57" s="272"/>
      <c r="CP57" s="272"/>
      <c r="CQ57" s="272"/>
      <c r="CR57" s="272"/>
      <c r="CS57" s="272"/>
    </row>
    <row r="58" spans="1:97" s="298" customFormat="1" ht="24.6" outlineLevel="1" thickTop="1" thickBot="1" x14ac:dyDescent="0.5">
      <c r="A58" s="337" t="s">
        <v>166</v>
      </c>
      <c r="B58" s="338"/>
      <c r="C58" s="340">
        <f>SUM(C59)</f>
        <v>1125</v>
      </c>
      <c r="D58" s="340">
        <f>D59</f>
        <v>1500</v>
      </c>
      <c r="E58" s="570">
        <f>E59</f>
        <v>1500</v>
      </c>
      <c r="F58" s="300">
        <v>3600</v>
      </c>
      <c r="G58" s="587">
        <f>G59</f>
        <v>1500</v>
      </c>
      <c r="H58" s="406">
        <f>SUM(H59)</f>
        <v>1500</v>
      </c>
      <c r="I58" s="549">
        <f t="shared" si="2"/>
        <v>0</v>
      </c>
      <c r="J58" s="278"/>
      <c r="K58" s="278"/>
      <c r="L58" s="278"/>
      <c r="M58" s="278"/>
      <c r="N58" s="278"/>
      <c r="O58" s="278"/>
      <c r="P58" s="278"/>
      <c r="Q58" s="278"/>
      <c r="R58" s="278"/>
      <c r="S58" s="278"/>
      <c r="T58" s="278"/>
      <c r="U58" s="278"/>
      <c r="V58" s="278"/>
      <c r="W58" s="278"/>
      <c r="X58" s="278"/>
      <c r="Y58" s="278"/>
      <c r="Z58" s="278"/>
      <c r="AA58" s="278"/>
      <c r="AB58" s="278"/>
      <c r="AC58" s="278"/>
      <c r="AD58" s="278"/>
      <c r="AE58" s="278"/>
      <c r="AF58" s="278"/>
      <c r="AG58" s="278"/>
      <c r="AH58" s="278"/>
      <c r="AI58" s="278"/>
      <c r="AJ58" s="278"/>
      <c r="AK58" s="278"/>
      <c r="AL58" s="278"/>
      <c r="AM58" s="278"/>
      <c r="AN58" s="278"/>
      <c r="AO58" s="278"/>
      <c r="AP58" s="278"/>
      <c r="AQ58" s="278"/>
      <c r="AR58" s="278"/>
      <c r="AS58" s="278"/>
      <c r="AT58" s="278"/>
      <c r="AU58" s="278"/>
      <c r="AV58" s="278"/>
      <c r="AW58" s="278"/>
      <c r="AX58" s="278"/>
      <c r="AY58" s="278"/>
      <c r="AZ58" s="278"/>
      <c r="BA58" s="278"/>
      <c r="BB58" s="278"/>
      <c r="BC58" s="278"/>
      <c r="BD58" s="278"/>
      <c r="BE58" s="278"/>
      <c r="BF58" s="278"/>
      <c r="BG58" s="278"/>
      <c r="BH58" s="278"/>
      <c r="BI58" s="278"/>
      <c r="BJ58" s="278"/>
      <c r="BK58" s="278"/>
      <c r="BL58" s="278"/>
      <c r="BM58" s="278"/>
      <c r="BN58" s="278"/>
      <c r="BO58" s="278"/>
      <c r="BP58" s="278"/>
      <c r="BQ58" s="278"/>
      <c r="BR58" s="278"/>
      <c r="BS58" s="278"/>
      <c r="BT58" s="278"/>
      <c r="BU58" s="278"/>
      <c r="BV58" s="278"/>
      <c r="BW58" s="278"/>
      <c r="BX58" s="278"/>
      <c r="BY58" s="278"/>
      <c r="BZ58" s="278"/>
      <c r="CA58" s="278"/>
      <c r="CB58" s="278"/>
      <c r="CC58" s="278"/>
      <c r="CD58" s="278"/>
      <c r="CE58" s="278"/>
      <c r="CF58" s="278"/>
      <c r="CG58" s="278"/>
      <c r="CH58" s="278"/>
      <c r="CI58" s="278"/>
      <c r="CJ58" s="278"/>
      <c r="CK58" s="278"/>
      <c r="CL58" s="278"/>
      <c r="CM58" s="278"/>
      <c r="CN58" s="278"/>
      <c r="CO58" s="278"/>
      <c r="CP58" s="278"/>
      <c r="CQ58" s="278"/>
      <c r="CR58" s="278"/>
      <c r="CS58" s="278"/>
    </row>
    <row r="59" spans="1:97" s="273" customFormat="1" ht="24.6" thickTop="1" thickBot="1" x14ac:dyDescent="0.5">
      <c r="A59" s="341" t="s">
        <v>167</v>
      </c>
      <c r="B59" s="342"/>
      <c r="C59" s="498">
        <v>1125</v>
      </c>
      <c r="D59" s="499">
        <v>1500</v>
      </c>
      <c r="E59" s="571">
        <v>1500</v>
      </c>
      <c r="F59" s="292">
        <f>F60</f>
        <v>1500</v>
      </c>
      <c r="G59" s="589">
        <v>1500</v>
      </c>
      <c r="H59" s="648">
        <v>1500</v>
      </c>
      <c r="I59" s="549">
        <f t="shared" si="2"/>
        <v>0</v>
      </c>
      <c r="J59" s="272"/>
      <c r="K59" s="272"/>
      <c r="L59" s="272">
        <f>8400/1400</f>
        <v>6</v>
      </c>
      <c r="M59" s="272"/>
      <c r="N59" s="272"/>
      <c r="O59" s="272"/>
      <c r="P59" s="272"/>
      <c r="Q59" s="272"/>
      <c r="R59" s="272"/>
      <c r="S59" s="272"/>
      <c r="T59" s="272"/>
      <c r="U59" s="272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2"/>
      <c r="BR59" s="272"/>
      <c r="BS59" s="272"/>
      <c r="BT59" s="272"/>
      <c r="BU59" s="272"/>
      <c r="BV59" s="272"/>
      <c r="BW59" s="272"/>
      <c r="BX59" s="272"/>
      <c r="BY59" s="272"/>
      <c r="BZ59" s="272"/>
      <c r="CA59" s="272"/>
      <c r="CB59" s="272"/>
      <c r="CC59" s="272"/>
      <c r="CD59" s="272"/>
      <c r="CE59" s="272"/>
      <c r="CF59" s="272"/>
      <c r="CG59" s="272"/>
      <c r="CH59" s="272"/>
      <c r="CI59" s="272"/>
      <c r="CJ59" s="272"/>
      <c r="CK59" s="272"/>
      <c r="CL59" s="272"/>
      <c r="CM59" s="272"/>
      <c r="CN59" s="272"/>
      <c r="CO59" s="272"/>
      <c r="CP59" s="272"/>
      <c r="CQ59" s="272"/>
      <c r="CR59" s="272"/>
      <c r="CS59" s="272"/>
    </row>
    <row r="60" spans="1:97" s="298" customFormat="1" ht="24.6" outlineLevel="1" thickTop="1" thickBot="1" x14ac:dyDescent="0.5">
      <c r="A60" s="337" t="s">
        <v>168</v>
      </c>
      <c r="B60" s="338"/>
      <c r="C60" s="340">
        <f>C61</f>
        <v>0</v>
      </c>
      <c r="D60" s="340">
        <f t="shared" ref="D60:G60" si="6">D61</f>
        <v>0</v>
      </c>
      <c r="E60" s="570">
        <f t="shared" si="6"/>
        <v>0</v>
      </c>
      <c r="F60" s="300">
        <v>1500</v>
      </c>
      <c r="G60" s="587">
        <f t="shared" si="6"/>
        <v>0</v>
      </c>
      <c r="H60" s="406">
        <f>SUM(H61)</f>
        <v>0</v>
      </c>
      <c r="I60" s="549">
        <f t="shared" si="2"/>
        <v>0</v>
      </c>
      <c r="J60" s="278"/>
      <c r="K60" s="278"/>
      <c r="L60" s="278"/>
      <c r="M60" s="278"/>
      <c r="N60" s="278"/>
      <c r="O60" s="278"/>
      <c r="P60" s="278"/>
      <c r="Q60" s="278"/>
      <c r="R60" s="278"/>
      <c r="S60" s="278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278"/>
      <c r="AQ60" s="278"/>
      <c r="AR60" s="278"/>
      <c r="AS60" s="278"/>
      <c r="AT60" s="278"/>
      <c r="AU60" s="278"/>
      <c r="AV60" s="278"/>
      <c r="AW60" s="278"/>
      <c r="AX60" s="278"/>
      <c r="AY60" s="278"/>
      <c r="AZ60" s="278"/>
      <c r="BA60" s="278"/>
      <c r="BB60" s="278"/>
      <c r="BC60" s="278"/>
      <c r="BD60" s="278"/>
      <c r="BE60" s="278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/>
      <c r="CD60" s="278"/>
      <c r="CE60" s="278"/>
      <c r="CF60" s="278"/>
      <c r="CG60" s="278"/>
      <c r="CH60" s="278"/>
      <c r="CI60" s="278"/>
      <c r="CJ60" s="278"/>
      <c r="CK60" s="278"/>
      <c r="CL60" s="278"/>
      <c r="CM60" s="278"/>
      <c r="CN60" s="278"/>
      <c r="CO60" s="278"/>
      <c r="CP60" s="278"/>
      <c r="CQ60" s="278"/>
      <c r="CR60" s="278"/>
      <c r="CS60" s="278"/>
    </row>
    <row r="61" spans="1:97" s="273" customFormat="1" ht="24.6" thickTop="1" thickBot="1" x14ac:dyDescent="0.5">
      <c r="A61" s="341" t="s">
        <v>169</v>
      </c>
      <c r="B61" s="342"/>
      <c r="C61" s="498">
        <v>0</v>
      </c>
      <c r="D61" s="499">
        <v>0</v>
      </c>
      <c r="E61" s="571">
        <v>0</v>
      </c>
      <c r="F61" s="292">
        <f t="shared" ref="F61" si="7">F62</f>
        <v>15000</v>
      </c>
      <c r="G61" s="589">
        <v>0</v>
      </c>
      <c r="H61" s="648">
        <v>0</v>
      </c>
      <c r="I61" s="549">
        <f t="shared" si="2"/>
        <v>0</v>
      </c>
      <c r="J61" s="272"/>
      <c r="K61" s="272"/>
      <c r="L61" s="272"/>
      <c r="M61" s="272"/>
      <c r="N61" s="272"/>
      <c r="O61" s="272"/>
      <c r="P61" s="272"/>
      <c r="Q61" s="272"/>
      <c r="R61" s="272"/>
      <c r="S61" s="272"/>
      <c r="T61" s="272"/>
      <c r="U61" s="272"/>
      <c r="V61" s="272"/>
      <c r="W61" s="272"/>
      <c r="X61" s="272"/>
      <c r="Y61" s="272"/>
      <c r="Z61" s="272"/>
      <c r="AA61" s="272"/>
      <c r="AB61" s="272"/>
      <c r="AC61" s="272"/>
      <c r="AD61" s="272"/>
      <c r="AE61" s="272"/>
      <c r="AF61" s="272"/>
      <c r="AG61" s="272"/>
      <c r="AH61" s="272"/>
      <c r="AI61" s="272"/>
      <c r="AJ61" s="272"/>
      <c r="AK61" s="272"/>
      <c r="AL61" s="272"/>
      <c r="AM61" s="272"/>
      <c r="AN61" s="272"/>
      <c r="AO61" s="272"/>
      <c r="AP61" s="272"/>
      <c r="AQ61" s="272"/>
      <c r="AR61" s="272"/>
      <c r="AS61" s="272"/>
      <c r="AT61" s="272"/>
      <c r="AU61" s="272"/>
      <c r="AV61" s="272"/>
      <c r="AW61" s="272"/>
      <c r="AX61" s="272"/>
      <c r="AY61" s="272"/>
      <c r="AZ61" s="272"/>
      <c r="BA61" s="272"/>
      <c r="BB61" s="272"/>
      <c r="BC61" s="272"/>
      <c r="BD61" s="272"/>
      <c r="BE61" s="272"/>
      <c r="BF61" s="272"/>
      <c r="BG61" s="272"/>
      <c r="BH61" s="272"/>
      <c r="BI61" s="272"/>
      <c r="BJ61" s="272"/>
      <c r="BK61" s="272"/>
      <c r="BL61" s="272"/>
      <c r="BM61" s="272"/>
      <c r="BN61" s="272"/>
      <c r="BO61" s="272"/>
      <c r="BP61" s="272"/>
      <c r="BQ61" s="272"/>
      <c r="BR61" s="272"/>
      <c r="BS61" s="272"/>
      <c r="BT61" s="272"/>
      <c r="BU61" s="272"/>
      <c r="BV61" s="272"/>
      <c r="BW61" s="272"/>
      <c r="BX61" s="272"/>
      <c r="BY61" s="272"/>
      <c r="BZ61" s="272"/>
      <c r="CA61" s="272"/>
      <c r="CB61" s="272"/>
      <c r="CC61" s="272"/>
      <c r="CD61" s="272"/>
      <c r="CE61" s="272"/>
      <c r="CF61" s="272"/>
      <c r="CG61" s="272"/>
      <c r="CH61" s="272"/>
      <c r="CI61" s="272"/>
      <c r="CJ61" s="272"/>
      <c r="CK61" s="272"/>
      <c r="CL61" s="272"/>
      <c r="CM61" s="272"/>
      <c r="CN61" s="272"/>
      <c r="CO61" s="272"/>
      <c r="CP61" s="272"/>
      <c r="CQ61" s="272"/>
      <c r="CR61" s="272"/>
      <c r="CS61" s="272"/>
    </row>
    <row r="62" spans="1:97" s="298" customFormat="1" ht="24.6" outlineLevel="1" thickTop="1" thickBot="1" x14ac:dyDescent="0.5">
      <c r="A62" s="337" t="s">
        <v>170</v>
      </c>
      <c r="B62" s="338"/>
      <c r="C62" s="339">
        <f t="shared" ref="C62:E62" si="8">C63+C64</f>
        <v>16483.64</v>
      </c>
      <c r="D62" s="339">
        <f>D63+D64</f>
        <v>23900.04</v>
      </c>
      <c r="E62" s="572">
        <f t="shared" si="8"/>
        <v>26500</v>
      </c>
      <c r="F62" s="300">
        <v>15000</v>
      </c>
      <c r="G62" s="587">
        <f t="shared" ref="G62" si="9">G63+G64</f>
        <v>19258.64</v>
      </c>
      <c r="H62" s="406">
        <f>SUM(H63:H64)</f>
        <v>29700</v>
      </c>
      <c r="I62" s="549">
        <f t="shared" si="2"/>
        <v>2599.9599999999991</v>
      </c>
      <c r="J62" s="278"/>
      <c r="K62" s="278"/>
      <c r="L62" s="278"/>
      <c r="M62" s="278"/>
      <c r="N62" s="278"/>
      <c r="O62" s="278"/>
      <c r="P62" s="278"/>
      <c r="Q62" s="278"/>
      <c r="R62" s="278"/>
      <c r="S62" s="278"/>
      <c r="T62" s="278"/>
      <c r="U62" s="278"/>
      <c r="V62" s="278"/>
      <c r="W62" s="278"/>
      <c r="X62" s="278"/>
      <c r="Y62" s="278"/>
      <c r="Z62" s="278"/>
      <c r="AA62" s="278"/>
      <c r="AB62" s="278"/>
      <c r="AC62" s="278"/>
      <c r="AD62" s="278"/>
      <c r="AE62" s="278"/>
      <c r="AF62" s="278"/>
      <c r="AG62" s="278"/>
      <c r="AH62" s="278"/>
      <c r="AI62" s="278"/>
      <c r="AJ62" s="278"/>
      <c r="AK62" s="278"/>
      <c r="AL62" s="278"/>
      <c r="AM62" s="278"/>
      <c r="AN62" s="278"/>
      <c r="AO62" s="278"/>
      <c r="AP62" s="278"/>
      <c r="AQ62" s="278"/>
      <c r="AR62" s="278"/>
      <c r="AS62" s="278"/>
      <c r="AT62" s="278"/>
      <c r="AU62" s="278"/>
      <c r="AV62" s="278"/>
      <c r="AW62" s="278"/>
      <c r="AX62" s="278"/>
      <c r="AY62" s="278"/>
      <c r="AZ62" s="278"/>
      <c r="BA62" s="278"/>
      <c r="BB62" s="278"/>
      <c r="BC62" s="278"/>
      <c r="BD62" s="278"/>
      <c r="BE62" s="278"/>
      <c r="BF62" s="278"/>
      <c r="BG62" s="278"/>
      <c r="BH62" s="278"/>
      <c r="BI62" s="278"/>
      <c r="BJ62" s="278"/>
      <c r="BK62" s="278"/>
      <c r="BL62" s="278"/>
      <c r="BM62" s="278"/>
      <c r="BN62" s="278"/>
      <c r="BO62" s="278"/>
      <c r="BP62" s="278"/>
      <c r="BQ62" s="278"/>
      <c r="BR62" s="278"/>
      <c r="BS62" s="278"/>
      <c r="BT62" s="278"/>
      <c r="BU62" s="278"/>
      <c r="BV62" s="278"/>
      <c r="BW62" s="278"/>
      <c r="BX62" s="278"/>
      <c r="BY62" s="278"/>
      <c r="BZ62" s="278"/>
      <c r="CA62" s="278"/>
      <c r="CB62" s="278"/>
      <c r="CC62" s="278"/>
      <c r="CD62" s="278"/>
      <c r="CE62" s="278"/>
      <c r="CF62" s="278"/>
      <c r="CG62" s="278"/>
      <c r="CH62" s="278"/>
      <c r="CI62" s="278"/>
      <c r="CJ62" s="278"/>
      <c r="CK62" s="278"/>
      <c r="CL62" s="278"/>
      <c r="CM62" s="278"/>
      <c r="CN62" s="278"/>
      <c r="CO62" s="278"/>
      <c r="CP62" s="278"/>
      <c r="CQ62" s="278"/>
      <c r="CR62" s="278"/>
      <c r="CS62" s="278"/>
    </row>
    <row r="63" spans="1:97" s="273" customFormat="1" ht="24.6" thickTop="1" thickBot="1" x14ac:dyDescent="0.5">
      <c r="A63" s="341" t="s">
        <v>171</v>
      </c>
      <c r="B63" s="342"/>
      <c r="C63" s="498">
        <v>15400</v>
      </c>
      <c r="D63" s="499">
        <f>C63+(1400*'Water Fund'!K100)</f>
        <v>22400</v>
      </c>
      <c r="E63" s="571">
        <v>25000</v>
      </c>
      <c r="F63" s="292">
        <f t="shared" ref="F63" si="10">F64+F65</f>
        <v>15300</v>
      </c>
      <c r="G63" s="589">
        <f>1400*13</f>
        <v>18200</v>
      </c>
      <c r="H63" s="648">
        <v>28000</v>
      </c>
      <c r="I63" s="549">
        <f>E63-D63</f>
        <v>2600</v>
      </c>
      <c r="J63" s="272"/>
      <c r="K63" s="272"/>
      <c r="L63" s="272"/>
      <c r="M63" s="272"/>
      <c r="N63" s="272"/>
      <c r="O63" s="272"/>
      <c r="P63" s="272"/>
      <c r="Q63" s="272"/>
      <c r="R63" s="272"/>
      <c r="S63" s="272"/>
      <c r="T63" s="272"/>
      <c r="U63" s="272"/>
      <c r="V63" s="272"/>
      <c r="W63" s="272"/>
      <c r="X63" s="272"/>
      <c r="Y63" s="272"/>
      <c r="Z63" s="272"/>
      <c r="AA63" s="272"/>
      <c r="AB63" s="272"/>
      <c r="AC63" s="272"/>
      <c r="AD63" s="272"/>
      <c r="AE63" s="272"/>
      <c r="AF63" s="272"/>
      <c r="AG63" s="272"/>
      <c r="AH63" s="272"/>
      <c r="AI63" s="272"/>
      <c r="AJ63" s="272"/>
      <c r="AK63" s="272"/>
      <c r="AL63" s="272"/>
      <c r="AM63" s="272"/>
      <c r="AN63" s="272"/>
      <c r="AO63" s="272"/>
      <c r="AP63" s="272"/>
      <c r="AQ63" s="272"/>
      <c r="AR63" s="272"/>
      <c r="AS63" s="272"/>
      <c r="AT63" s="272"/>
      <c r="AU63" s="272"/>
      <c r="AV63" s="272"/>
      <c r="AW63" s="272"/>
      <c r="AX63" s="272"/>
      <c r="AY63" s="272"/>
      <c r="AZ63" s="272"/>
      <c r="BA63" s="272"/>
      <c r="BB63" s="272"/>
      <c r="BC63" s="272"/>
      <c r="BD63" s="272"/>
      <c r="BE63" s="272"/>
      <c r="BF63" s="272"/>
      <c r="BG63" s="272"/>
      <c r="BH63" s="272"/>
      <c r="BI63" s="272"/>
      <c r="BJ63" s="272"/>
      <c r="BK63" s="272"/>
      <c r="BL63" s="272"/>
      <c r="BM63" s="272"/>
      <c r="BN63" s="272"/>
      <c r="BO63" s="272"/>
      <c r="BP63" s="272"/>
      <c r="BQ63" s="272"/>
      <c r="BR63" s="272"/>
      <c r="BS63" s="272"/>
      <c r="BT63" s="272"/>
      <c r="BU63" s="272"/>
      <c r="BV63" s="272"/>
      <c r="BW63" s="272"/>
      <c r="BX63" s="272"/>
      <c r="BY63" s="272"/>
      <c r="BZ63" s="272"/>
      <c r="CA63" s="272"/>
      <c r="CB63" s="272"/>
      <c r="CC63" s="272"/>
      <c r="CD63" s="272"/>
      <c r="CE63" s="272"/>
      <c r="CF63" s="272"/>
      <c r="CG63" s="272"/>
      <c r="CH63" s="272"/>
      <c r="CI63" s="272"/>
      <c r="CJ63" s="272"/>
      <c r="CK63" s="272"/>
      <c r="CL63" s="272"/>
      <c r="CM63" s="272"/>
      <c r="CN63" s="272"/>
      <c r="CO63" s="272"/>
      <c r="CP63" s="272"/>
      <c r="CQ63" s="272"/>
      <c r="CR63" s="272"/>
      <c r="CS63" s="272"/>
    </row>
    <row r="64" spans="1:97" s="298" customFormat="1" ht="24.6" outlineLevel="1" thickTop="1" thickBot="1" x14ac:dyDescent="0.5">
      <c r="A64" s="341" t="s">
        <v>172</v>
      </c>
      <c r="B64" s="342"/>
      <c r="C64" s="498">
        <v>1083.6400000000001</v>
      </c>
      <c r="D64" s="499">
        <f>C64+(83.28*'Water Fund'!K100)</f>
        <v>1500.04</v>
      </c>
      <c r="E64" s="571">
        <v>1500</v>
      </c>
      <c r="F64" s="300">
        <v>15000</v>
      </c>
      <c r="G64" s="589">
        <f>(77.28*4)+(83.28*9)</f>
        <v>1058.6399999999999</v>
      </c>
      <c r="H64" s="648">
        <v>1700</v>
      </c>
      <c r="I64" s="549">
        <f>E64-D64</f>
        <v>-3.999999999996362E-2</v>
      </c>
      <c r="J64" s="278"/>
      <c r="K64" s="307" t="s">
        <v>126</v>
      </c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8"/>
      <c r="Z64" s="278"/>
      <c r="AA64" s="278"/>
      <c r="AB64" s="278"/>
      <c r="AC64" s="278"/>
      <c r="AD64" s="278"/>
      <c r="AE64" s="278"/>
      <c r="AF64" s="278"/>
      <c r="AG64" s="278"/>
      <c r="AH64" s="278"/>
      <c r="AI64" s="278"/>
      <c r="AJ64" s="278"/>
      <c r="AK64" s="278"/>
      <c r="AL64" s="278"/>
      <c r="AM64" s="278"/>
      <c r="AN64" s="278"/>
      <c r="AO64" s="278"/>
      <c r="AP64" s="278"/>
      <c r="AQ64" s="278"/>
      <c r="AR64" s="278"/>
      <c r="AS64" s="278"/>
      <c r="AT64" s="278"/>
      <c r="AU64" s="278"/>
      <c r="AV64" s="278"/>
      <c r="AW64" s="278"/>
      <c r="AX64" s="278"/>
      <c r="AY64" s="278"/>
      <c r="AZ64" s="278"/>
      <c r="BA64" s="278"/>
      <c r="BB64" s="278"/>
      <c r="BC64" s="278"/>
      <c r="BD64" s="278"/>
      <c r="BE64" s="278"/>
      <c r="BF64" s="278"/>
      <c r="BG64" s="278"/>
      <c r="BH64" s="278"/>
      <c r="BI64" s="278"/>
      <c r="BJ64" s="278"/>
      <c r="BK64" s="278"/>
      <c r="BL64" s="278"/>
      <c r="BM64" s="278"/>
      <c r="BN64" s="278"/>
      <c r="BO64" s="278"/>
      <c r="BP64" s="278"/>
      <c r="BQ64" s="278"/>
      <c r="BR64" s="278"/>
      <c r="BS64" s="278"/>
      <c r="BT64" s="278"/>
      <c r="BU64" s="278"/>
      <c r="BV64" s="278"/>
      <c r="BW64" s="278"/>
      <c r="BX64" s="278"/>
      <c r="BY64" s="278"/>
      <c r="BZ64" s="278"/>
      <c r="CA64" s="278"/>
      <c r="CB64" s="278"/>
      <c r="CC64" s="278"/>
      <c r="CD64" s="278"/>
      <c r="CE64" s="278"/>
      <c r="CF64" s="278"/>
      <c r="CG64" s="278"/>
      <c r="CH64" s="278"/>
      <c r="CI64" s="278"/>
      <c r="CJ64" s="278"/>
      <c r="CK64" s="278"/>
      <c r="CL64" s="278"/>
      <c r="CM64" s="278"/>
      <c r="CN64" s="278"/>
      <c r="CO64" s="278"/>
      <c r="CP64" s="278"/>
      <c r="CQ64" s="278"/>
      <c r="CR64" s="278"/>
      <c r="CS64" s="278"/>
    </row>
    <row r="65" spans="1:97" s="298" customFormat="1" ht="24.6" outlineLevel="1" thickTop="1" thickBot="1" x14ac:dyDescent="0.5">
      <c r="A65" s="337" t="s">
        <v>173</v>
      </c>
      <c r="B65" s="338"/>
      <c r="C65" s="339">
        <f t="shared" ref="C65:E65" si="11">SUM(C66:C71)</f>
        <v>275</v>
      </c>
      <c r="D65" s="339">
        <f t="shared" si="11"/>
        <v>275</v>
      </c>
      <c r="E65" s="572">
        <f t="shared" si="11"/>
        <v>0</v>
      </c>
      <c r="F65" s="300">
        <v>300</v>
      </c>
      <c r="G65" s="587">
        <f t="shared" ref="G65" si="12">SUM(G66:G71)</f>
        <v>3000</v>
      </c>
      <c r="H65" s="406">
        <f>SUM(H66:H71)</f>
        <v>0</v>
      </c>
      <c r="I65" s="549">
        <f t="shared" si="2"/>
        <v>-275</v>
      </c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8"/>
      <c r="CA65" s="278"/>
      <c r="CB65" s="278"/>
      <c r="CC65" s="278"/>
      <c r="CD65" s="278"/>
      <c r="CE65" s="278"/>
      <c r="CF65" s="278"/>
      <c r="CG65" s="278"/>
      <c r="CH65" s="278"/>
      <c r="CI65" s="278"/>
      <c r="CJ65" s="278"/>
      <c r="CK65" s="278"/>
      <c r="CL65" s="278"/>
      <c r="CM65" s="278"/>
      <c r="CN65" s="278"/>
      <c r="CO65" s="278"/>
      <c r="CP65" s="278"/>
      <c r="CQ65" s="278"/>
      <c r="CR65" s="278"/>
      <c r="CS65" s="278"/>
    </row>
    <row r="66" spans="1:97" s="273" customFormat="1" ht="24.6" thickTop="1" thickBot="1" x14ac:dyDescent="0.5">
      <c r="A66" s="341" t="s">
        <v>174</v>
      </c>
      <c r="B66" s="342"/>
      <c r="C66" s="498">
        <v>275</v>
      </c>
      <c r="D66" s="499">
        <f>C66</f>
        <v>275</v>
      </c>
      <c r="E66" s="571">
        <v>0</v>
      </c>
      <c r="F66" s="292">
        <f t="shared" ref="F66" si="13">SUM(F67:F72)</f>
        <v>100</v>
      </c>
      <c r="G66" s="589">
        <v>3000</v>
      </c>
      <c r="H66" s="648">
        <v>0</v>
      </c>
      <c r="I66" s="549">
        <f t="shared" si="2"/>
        <v>-275</v>
      </c>
      <c r="J66" s="272"/>
      <c r="K66" s="272"/>
      <c r="L66" s="272"/>
      <c r="M66" s="272"/>
      <c r="N66" s="272"/>
      <c r="O66" s="272"/>
      <c r="P66" s="272"/>
      <c r="Q66" s="272"/>
      <c r="R66" s="272"/>
      <c r="S66" s="272"/>
      <c r="T66" s="272"/>
      <c r="U66" s="272"/>
      <c r="V66" s="272"/>
      <c r="W66" s="272"/>
      <c r="X66" s="272"/>
      <c r="Y66" s="272"/>
      <c r="Z66" s="272"/>
      <c r="AA66" s="272"/>
      <c r="AB66" s="272"/>
      <c r="AC66" s="272"/>
      <c r="AD66" s="272"/>
      <c r="AE66" s="272"/>
      <c r="AF66" s="272"/>
      <c r="AG66" s="272"/>
      <c r="AH66" s="272"/>
      <c r="AI66" s="272"/>
      <c r="AJ66" s="272"/>
      <c r="AK66" s="272"/>
      <c r="AL66" s="272"/>
      <c r="AM66" s="272"/>
      <c r="AN66" s="272"/>
      <c r="AO66" s="272"/>
      <c r="AP66" s="272"/>
      <c r="AQ66" s="272"/>
      <c r="AR66" s="272"/>
      <c r="AS66" s="272"/>
      <c r="AT66" s="272"/>
      <c r="AU66" s="272"/>
      <c r="AV66" s="272"/>
      <c r="AW66" s="272"/>
      <c r="AX66" s="272"/>
      <c r="AY66" s="272"/>
      <c r="AZ66" s="272"/>
      <c r="BA66" s="272"/>
      <c r="BB66" s="272"/>
      <c r="BC66" s="272"/>
      <c r="BD66" s="272"/>
      <c r="BE66" s="272"/>
      <c r="BF66" s="272"/>
      <c r="BG66" s="272"/>
      <c r="BH66" s="272"/>
      <c r="BI66" s="272"/>
      <c r="BJ66" s="272"/>
      <c r="BK66" s="272"/>
      <c r="BL66" s="272"/>
      <c r="BM66" s="272"/>
      <c r="BN66" s="272"/>
      <c r="BO66" s="272"/>
      <c r="BP66" s="272"/>
      <c r="BQ66" s="272"/>
      <c r="BR66" s="272"/>
      <c r="BS66" s="272"/>
      <c r="BT66" s="272"/>
      <c r="BU66" s="272"/>
      <c r="BV66" s="272"/>
      <c r="BW66" s="272"/>
      <c r="BX66" s="272"/>
      <c r="BY66" s="272"/>
      <c r="BZ66" s="272"/>
      <c r="CA66" s="272"/>
      <c r="CB66" s="272"/>
      <c r="CC66" s="272"/>
      <c r="CD66" s="272"/>
      <c r="CE66" s="272"/>
      <c r="CF66" s="272"/>
      <c r="CG66" s="272"/>
      <c r="CH66" s="272"/>
      <c r="CI66" s="272"/>
      <c r="CJ66" s="272"/>
      <c r="CK66" s="272"/>
      <c r="CL66" s="272"/>
      <c r="CM66" s="272"/>
      <c r="CN66" s="272"/>
      <c r="CO66" s="272"/>
      <c r="CP66" s="272"/>
      <c r="CQ66" s="272"/>
      <c r="CR66" s="272"/>
      <c r="CS66" s="272"/>
    </row>
    <row r="67" spans="1:97" s="298" customFormat="1" ht="24.6" outlineLevel="1" thickTop="1" thickBot="1" x14ac:dyDescent="0.5">
      <c r="A67" s="341" t="s">
        <v>175</v>
      </c>
      <c r="B67" s="342"/>
      <c r="C67" s="498">
        <v>0</v>
      </c>
      <c r="D67" s="499">
        <v>0</v>
      </c>
      <c r="E67" s="571">
        <v>0</v>
      </c>
      <c r="F67" s="300">
        <v>100</v>
      </c>
      <c r="G67" s="589">
        <v>0</v>
      </c>
      <c r="H67" s="648">
        <v>0</v>
      </c>
      <c r="I67" s="549">
        <f t="shared" si="2"/>
        <v>0</v>
      </c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8"/>
      <c r="BM67" s="278"/>
      <c r="BN67" s="278"/>
      <c r="BO67" s="278"/>
      <c r="BP67" s="278"/>
      <c r="BQ67" s="278"/>
      <c r="BR67" s="278"/>
      <c r="BS67" s="278"/>
      <c r="BT67" s="278"/>
      <c r="BU67" s="278"/>
      <c r="BV67" s="278"/>
      <c r="BW67" s="278"/>
      <c r="BX67" s="278"/>
      <c r="BY67" s="278"/>
      <c r="BZ67" s="278"/>
      <c r="CA67" s="278"/>
      <c r="CB67" s="278"/>
      <c r="CC67" s="278"/>
      <c r="CD67" s="278"/>
      <c r="CE67" s="278"/>
      <c r="CF67" s="278"/>
      <c r="CG67" s="278"/>
      <c r="CH67" s="278"/>
      <c r="CI67" s="278"/>
      <c r="CJ67" s="278"/>
      <c r="CK67" s="278"/>
      <c r="CL67" s="278"/>
      <c r="CM67" s="278"/>
      <c r="CN67" s="278"/>
      <c r="CO67" s="278"/>
      <c r="CP67" s="278"/>
      <c r="CQ67" s="278"/>
      <c r="CR67" s="278"/>
      <c r="CS67" s="278"/>
    </row>
    <row r="68" spans="1:97" s="298" customFormat="1" ht="24.6" outlineLevel="1" thickTop="1" thickBot="1" x14ac:dyDescent="0.5">
      <c r="A68" s="341" t="s">
        <v>176</v>
      </c>
      <c r="B68" s="342"/>
      <c r="C68" s="498">
        <v>0</v>
      </c>
      <c r="D68" s="499">
        <v>0</v>
      </c>
      <c r="E68" s="571">
        <v>0</v>
      </c>
      <c r="F68" s="300">
        <v>0</v>
      </c>
      <c r="G68" s="589">
        <v>0</v>
      </c>
      <c r="H68" s="648">
        <v>0</v>
      </c>
      <c r="I68" s="549">
        <f t="shared" si="2"/>
        <v>0</v>
      </c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8"/>
      <c r="BM68" s="278"/>
      <c r="BN68" s="278"/>
      <c r="BO68" s="278"/>
      <c r="BP68" s="278"/>
      <c r="BQ68" s="278"/>
      <c r="BR68" s="278"/>
      <c r="BS68" s="278"/>
      <c r="BT68" s="278"/>
      <c r="BU68" s="278"/>
      <c r="BV68" s="278"/>
      <c r="BW68" s="278"/>
      <c r="BX68" s="278"/>
      <c r="BY68" s="278"/>
      <c r="BZ68" s="278"/>
      <c r="CA68" s="278"/>
      <c r="CB68" s="278"/>
      <c r="CC68" s="278"/>
      <c r="CD68" s="278"/>
      <c r="CE68" s="278"/>
      <c r="CF68" s="278"/>
      <c r="CG68" s="278"/>
      <c r="CH68" s="278"/>
      <c r="CI68" s="278"/>
      <c r="CJ68" s="278"/>
      <c r="CK68" s="278"/>
      <c r="CL68" s="278"/>
      <c r="CM68" s="278"/>
      <c r="CN68" s="278"/>
      <c r="CO68" s="278"/>
      <c r="CP68" s="278"/>
      <c r="CQ68" s="278"/>
      <c r="CR68" s="278"/>
      <c r="CS68" s="278"/>
    </row>
    <row r="69" spans="1:97" s="298" customFormat="1" ht="24.6" outlineLevel="1" thickTop="1" thickBot="1" x14ac:dyDescent="0.5">
      <c r="A69" s="341" t="s">
        <v>177</v>
      </c>
      <c r="B69" s="342"/>
      <c r="C69" s="498">
        <v>0</v>
      </c>
      <c r="D69" s="499">
        <v>0</v>
      </c>
      <c r="E69" s="571">
        <v>0</v>
      </c>
      <c r="F69" s="300">
        <v>0</v>
      </c>
      <c r="G69" s="589">
        <v>0</v>
      </c>
      <c r="H69" s="648">
        <v>0</v>
      </c>
      <c r="I69" s="549">
        <f t="shared" si="2"/>
        <v>0</v>
      </c>
      <c r="J69" s="278"/>
      <c r="K69" s="278"/>
      <c r="L69" s="278"/>
      <c r="M69" s="278"/>
      <c r="N69" s="278"/>
      <c r="O69" s="278"/>
      <c r="P69" s="278"/>
      <c r="Q69" s="278"/>
      <c r="R69" s="278"/>
      <c r="S69" s="278"/>
      <c r="T69" s="278"/>
      <c r="U69" s="278"/>
      <c r="V69" s="278"/>
      <c r="W69" s="278"/>
      <c r="X69" s="278"/>
      <c r="Y69" s="278"/>
      <c r="Z69" s="278"/>
      <c r="AA69" s="278"/>
      <c r="AB69" s="278"/>
      <c r="AC69" s="278"/>
      <c r="AD69" s="278"/>
      <c r="AE69" s="278"/>
      <c r="AF69" s="278"/>
      <c r="AG69" s="278"/>
      <c r="AH69" s="278"/>
      <c r="AI69" s="278"/>
      <c r="AJ69" s="278"/>
      <c r="AK69" s="278"/>
      <c r="AL69" s="278"/>
      <c r="AM69" s="278"/>
      <c r="AN69" s="278"/>
      <c r="AO69" s="278"/>
      <c r="AP69" s="278"/>
      <c r="AQ69" s="278"/>
      <c r="AR69" s="278"/>
      <c r="AS69" s="278"/>
      <c r="AT69" s="278"/>
      <c r="AU69" s="278"/>
      <c r="AV69" s="278"/>
      <c r="AW69" s="278"/>
      <c r="AX69" s="278"/>
      <c r="AY69" s="278"/>
      <c r="AZ69" s="278"/>
      <c r="BA69" s="278"/>
      <c r="BB69" s="278"/>
      <c r="BC69" s="278"/>
      <c r="BD69" s="278"/>
      <c r="BE69" s="278"/>
      <c r="BF69" s="278"/>
      <c r="BG69" s="278"/>
      <c r="BH69" s="278"/>
      <c r="BI69" s="278"/>
      <c r="BJ69" s="278"/>
      <c r="BK69" s="278"/>
      <c r="BL69" s="278"/>
      <c r="BM69" s="278"/>
      <c r="BN69" s="278"/>
      <c r="BO69" s="278"/>
      <c r="BP69" s="278"/>
      <c r="BQ69" s="278"/>
      <c r="BR69" s="278"/>
      <c r="BS69" s="278"/>
      <c r="BT69" s="278"/>
      <c r="BU69" s="278"/>
      <c r="BV69" s="278"/>
      <c r="BW69" s="278"/>
      <c r="BX69" s="278"/>
      <c r="BY69" s="278"/>
      <c r="BZ69" s="278"/>
      <c r="CA69" s="278"/>
      <c r="CB69" s="278"/>
      <c r="CC69" s="278"/>
      <c r="CD69" s="278"/>
      <c r="CE69" s="278"/>
      <c r="CF69" s="278"/>
      <c r="CG69" s="278"/>
      <c r="CH69" s="278"/>
      <c r="CI69" s="278"/>
      <c r="CJ69" s="278"/>
      <c r="CK69" s="278"/>
      <c r="CL69" s="278"/>
      <c r="CM69" s="278"/>
      <c r="CN69" s="278"/>
      <c r="CO69" s="278"/>
      <c r="CP69" s="278"/>
      <c r="CQ69" s="278"/>
      <c r="CR69" s="278"/>
      <c r="CS69" s="278"/>
    </row>
    <row r="70" spans="1:97" s="298" customFormat="1" ht="24.6" outlineLevel="1" thickTop="1" thickBot="1" x14ac:dyDescent="0.5">
      <c r="A70" s="341" t="s">
        <v>178</v>
      </c>
      <c r="B70" s="342"/>
      <c r="C70" s="498">
        <v>0</v>
      </c>
      <c r="D70" s="499">
        <v>0</v>
      </c>
      <c r="E70" s="571">
        <v>0</v>
      </c>
      <c r="F70" s="300">
        <v>0</v>
      </c>
      <c r="G70" s="589">
        <v>0</v>
      </c>
      <c r="H70" s="648">
        <v>0</v>
      </c>
      <c r="I70" s="549">
        <f t="shared" si="2"/>
        <v>0</v>
      </c>
      <c r="J70" s="278"/>
      <c r="K70" s="278"/>
      <c r="L70" s="278"/>
      <c r="M70" s="278"/>
      <c r="N70" s="278"/>
      <c r="O70" s="278"/>
      <c r="P70" s="278"/>
      <c r="Q70" s="278"/>
      <c r="R70" s="278"/>
      <c r="S70" s="278"/>
      <c r="T70" s="278"/>
      <c r="U70" s="278"/>
      <c r="V70" s="278"/>
      <c r="W70" s="278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8"/>
      <c r="AV70" s="278"/>
      <c r="AW70" s="278"/>
      <c r="AX70" s="278"/>
      <c r="AY70" s="278"/>
      <c r="AZ70" s="278"/>
      <c r="BA70" s="278"/>
      <c r="BB70" s="278"/>
      <c r="BC70" s="278"/>
      <c r="BD70" s="278"/>
      <c r="BE70" s="278"/>
      <c r="BF70" s="278"/>
      <c r="BG70" s="278"/>
      <c r="BH70" s="278"/>
      <c r="BI70" s="278"/>
      <c r="BJ70" s="278"/>
      <c r="BK70" s="278"/>
      <c r="BL70" s="278"/>
      <c r="BM70" s="278"/>
      <c r="BN70" s="278"/>
      <c r="BO70" s="278"/>
      <c r="BP70" s="278"/>
      <c r="BQ70" s="278"/>
      <c r="BR70" s="278"/>
      <c r="BS70" s="278"/>
      <c r="BT70" s="278"/>
      <c r="BU70" s="278"/>
      <c r="BV70" s="278"/>
      <c r="BW70" s="278"/>
      <c r="BX70" s="278"/>
      <c r="BY70" s="278"/>
      <c r="BZ70" s="278"/>
      <c r="CA70" s="278"/>
      <c r="CB70" s="278"/>
      <c r="CC70" s="278"/>
      <c r="CD70" s="278"/>
      <c r="CE70" s="278"/>
      <c r="CF70" s="278"/>
      <c r="CG70" s="278"/>
      <c r="CH70" s="278"/>
      <c r="CI70" s="278"/>
      <c r="CJ70" s="278"/>
      <c r="CK70" s="278"/>
      <c r="CL70" s="278"/>
      <c r="CM70" s="278"/>
      <c r="CN70" s="278"/>
      <c r="CO70" s="278"/>
      <c r="CP70" s="278"/>
      <c r="CQ70" s="278"/>
      <c r="CR70" s="278"/>
      <c r="CS70" s="278"/>
    </row>
    <row r="71" spans="1:97" s="298" customFormat="1" ht="24.6" outlineLevel="1" thickTop="1" thickBot="1" x14ac:dyDescent="0.5">
      <c r="A71" s="341" t="s">
        <v>179</v>
      </c>
      <c r="B71" s="342"/>
      <c r="C71" s="498">
        <v>0</v>
      </c>
      <c r="D71" s="499">
        <v>0</v>
      </c>
      <c r="E71" s="571">
        <v>0</v>
      </c>
      <c r="F71" s="300">
        <v>0</v>
      </c>
      <c r="G71" s="589">
        <v>0</v>
      </c>
      <c r="H71" s="648">
        <v>0</v>
      </c>
      <c r="I71" s="549">
        <f t="shared" si="2"/>
        <v>0</v>
      </c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8"/>
      <c r="AL71" s="278"/>
      <c r="AM71" s="278"/>
      <c r="AN71" s="278"/>
      <c r="AO71" s="278"/>
      <c r="AP71" s="278"/>
      <c r="AQ71" s="278"/>
      <c r="AR71" s="278"/>
      <c r="AS71" s="278"/>
      <c r="AT71" s="278"/>
      <c r="AU71" s="278"/>
      <c r="AV71" s="278"/>
      <c r="AW71" s="278"/>
      <c r="AX71" s="278"/>
      <c r="AY71" s="278"/>
      <c r="AZ71" s="278"/>
      <c r="BA71" s="278"/>
      <c r="BB71" s="278"/>
      <c r="BC71" s="278"/>
      <c r="BD71" s="278"/>
      <c r="BE71" s="278"/>
      <c r="BF71" s="278"/>
      <c r="BG71" s="278"/>
      <c r="BH71" s="278"/>
      <c r="BI71" s="278"/>
      <c r="BJ71" s="278"/>
      <c r="BK71" s="278"/>
      <c r="BL71" s="278"/>
      <c r="BM71" s="278"/>
      <c r="BN71" s="278"/>
      <c r="BO71" s="278"/>
      <c r="BP71" s="278"/>
      <c r="BQ71" s="278"/>
      <c r="BR71" s="278"/>
      <c r="BS71" s="278"/>
      <c r="BT71" s="278"/>
      <c r="BU71" s="278"/>
      <c r="BV71" s="278"/>
      <c r="BW71" s="278"/>
      <c r="BX71" s="278"/>
      <c r="BY71" s="278"/>
      <c r="BZ71" s="278"/>
      <c r="CA71" s="278"/>
      <c r="CB71" s="278"/>
      <c r="CC71" s="278"/>
      <c r="CD71" s="278"/>
      <c r="CE71" s="278"/>
      <c r="CF71" s="278"/>
      <c r="CG71" s="278"/>
      <c r="CH71" s="278"/>
      <c r="CI71" s="278"/>
      <c r="CJ71" s="278"/>
      <c r="CK71" s="278"/>
      <c r="CL71" s="278"/>
      <c r="CM71" s="278"/>
      <c r="CN71" s="278"/>
      <c r="CO71" s="278"/>
      <c r="CP71" s="278"/>
      <c r="CQ71" s="278"/>
      <c r="CR71" s="278"/>
      <c r="CS71" s="278"/>
    </row>
    <row r="72" spans="1:97" s="298" customFormat="1" ht="24.6" outlineLevel="1" thickTop="1" thickBot="1" x14ac:dyDescent="0.5">
      <c r="A72" s="337" t="s">
        <v>180</v>
      </c>
      <c r="B72" s="338"/>
      <c r="C72" s="339">
        <f t="shared" ref="C72:E72" si="14">SUM(C73:C83)</f>
        <v>9784.81</v>
      </c>
      <c r="D72" s="339">
        <f t="shared" si="14"/>
        <v>9784.81</v>
      </c>
      <c r="E72" s="572">
        <f t="shared" si="14"/>
        <v>2000</v>
      </c>
      <c r="F72" s="300">
        <v>0</v>
      </c>
      <c r="G72" s="587">
        <f t="shared" ref="G72" si="15">SUM(G73:G83)</f>
        <v>8000</v>
      </c>
      <c r="H72" s="406">
        <f>SUM(H73:H83)</f>
        <v>1942000</v>
      </c>
      <c r="I72" s="549">
        <f t="shared" si="2"/>
        <v>-7784.8099999999995</v>
      </c>
      <c r="J72" s="278"/>
      <c r="K72" s="278"/>
      <c r="L72" s="278"/>
      <c r="M72" s="278"/>
      <c r="N72" s="278"/>
      <c r="O72" s="278"/>
      <c r="P72" s="278"/>
      <c r="Q72" s="278"/>
      <c r="R72" s="278"/>
      <c r="S72" s="278"/>
      <c r="T72" s="278"/>
      <c r="U72" s="278"/>
      <c r="V72" s="278"/>
      <c r="W72" s="278"/>
      <c r="X72" s="278"/>
      <c r="Y72" s="278"/>
      <c r="Z72" s="278"/>
      <c r="AA72" s="278"/>
      <c r="AB72" s="278"/>
      <c r="AC72" s="278"/>
      <c r="AD72" s="278"/>
      <c r="AE72" s="278"/>
      <c r="AF72" s="278"/>
      <c r="AG72" s="278"/>
      <c r="AH72" s="278"/>
      <c r="AI72" s="278"/>
      <c r="AJ72" s="278"/>
      <c r="AK72" s="278"/>
      <c r="AL72" s="278"/>
      <c r="AM72" s="278"/>
      <c r="AN72" s="278"/>
      <c r="AO72" s="278"/>
      <c r="AP72" s="278"/>
      <c r="AQ72" s="278"/>
      <c r="AR72" s="278"/>
      <c r="AS72" s="278"/>
      <c r="AT72" s="278"/>
      <c r="AU72" s="278"/>
      <c r="AV72" s="278"/>
      <c r="AW72" s="278"/>
      <c r="AX72" s="278"/>
      <c r="AY72" s="278"/>
      <c r="AZ72" s="278"/>
      <c r="BA72" s="278"/>
      <c r="BB72" s="278"/>
      <c r="BC72" s="278"/>
      <c r="BD72" s="278"/>
      <c r="BE72" s="278"/>
      <c r="BF72" s="278"/>
      <c r="BG72" s="278"/>
      <c r="BH72" s="278"/>
      <c r="BI72" s="278"/>
      <c r="BJ72" s="278"/>
      <c r="BK72" s="278"/>
      <c r="BL72" s="278"/>
      <c r="BM72" s="278"/>
      <c r="BN72" s="278"/>
      <c r="BO72" s="278"/>
      <c r="BP72" s="278"/>
      <c r="BQ72" s="278"/>
      <c r="BR72" s="278"/>
      <c r="BS72" s="278"/>
      <c r="BT72" s="278"/>
      <c r="BU72" s="278"/>
      <c r="BV72" s="278"/>
      <c r="BW72" s="278"/>
      <c r="BX72" s="278"/>
      <c r="BY72" s="278"/>
      <c r="BZ72" s="278"/>
      <c r="CA72" s="278"/>
      <c r="CB72" s="278"/>
      <c r="CC72" s="278"/>
      <c r="CD72" s="278"/>
      <c r="CE72" s="278"/>
      <c r="CF72" s="278"/>
      <c r="CG72" s="278"/>
      <c r="CH72" s="278"/>
      <c r="CI72" s="278"/>
      <c r="CJ72" s="278"/>
      <c r="CK72" s="278"/>
      <c r="CL72" s="278"/>
      <c r="CM72" s="278"/>
      <c r="CN72" s="278"/>
      <c r="CO72" s="278"/>
      <c r="CP72" s="278"/>
      <c r="CQ72" s="278"/>
      <c r="CR72" s="278"/>
      <c r="CS72" s="278"/>
    </row>
    <row r="73" spans="1:97" s="273" customFormat="1" ht="24.6" thickTop="1" thickBot="1" x14ac:dyDescent="0.5">
      <c r="A73" s="341" t="s">
        <v>181</v>
      </c>
      <c r="B73" s="342"/>
      <c r="C73" s="498">
        <v>8726</v>
      </c>
      <c r="D73" s="499">
        <v>8726</v>
      </c>
      <c r="E73" s="571">
        <v>1000</v>
      </c>
      <c r="F73" s="292">
        <f t="shared" ref="F73" si="16">SUM(F74:F84)</f>
        <v>1000</v>
      </c>
      <c r="G73" s="589">
        <v>7000</v>
      </c>
      <c r="H73" s="648">
        <v>1000</v>
      </c>
      <c r="I73" s="549">
        <f t="shared" si="2"/>
        <v>-7726</v>
      </c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2"/>
      <c r="AK73" s="272"/>
      <c r="AL73" s="272"/>
      <c r="AM73" s="272"/>
      <c r="AN73" s="272"/>
      <c r="AO73" s="272"/>
      <c r="AP73" s="272"/>
      <c r="AQ73" s="272"/>
      <c r="AR73" s="272"/>
      <c r="AS73" s="272"/>
      <c r="AT73" s="272"/>
      <c r="AU73" s="272"/>
      <c r="AV73" s="272"/>
      <c r="AW73" s="272"/>
      <c r="AX73" s="272"/>
      <c r="AY73" s="272"/>
      <c r="AZ73" s="272"/>
      <c r="BA73" s="272"/>
      <c r="BB73" s="272"/>
      <c r="BC73" s="272"/>
      <c r="BD73" s="272"/>
      <c r="BE73" s="272"/>
      <c r="BF73" s="272"/>
      <c r="BG73" s="272"/>
      <c r="BH73" s="272"/>
      <c r="BI73" s="272"/>
      <c r="BJ73" s="272"/>
      <c r="BK73" s="272"/>
      <c r="BL73" s="272"/>
      <c r="BM73" s="272"/>
      <c r="BN73" s="272"/>
      <c r="BO73" s="272"/>
      <c r="BP73" s="272"/>
      <c r="BQ73" s="272"/>
      <c r="BR73" s="272"/>
      <c r="BS73" s="272"/>
      <c r="BT73" s="272"/>
      <c r="BU73" s="272"/>
      <c r="BV73" s="272"/>
      <c r="BW73" s="272"/>
      <c r="BX73" s="272"/>
      <c r="BY73" s="272"/>
      <c r="BZ73" s="272"/>
      <c r="CA73" s="272"/>
      <c r="CB73" s="272"/>
      <c r="CC73" s="272"/>
      <c r="CD73" s="272"/>
      <c r="CE73" s="272"/>
      <c r="CF73" s="272"/>
      <c r="CG73" s="272"/>
      <c r="CH73" s="272"/>
      <c r="CI73" s="272"/>
      <c r="CJ73" s="272"/>
      <c r="CK73" s="272"/>
      <c r="CL73" s="272"/>
      <c r="CM73" s="272"/>
      <c r="CN73" s="272"/>
      <c r="CO73" s="272"/>
      <c r="CP73" s="272"/>
      <c r="CQ73" s="272"/>
      <c r="CR73" s="272"/>
      <c r="CS73" s="272"/>
    </row>
    <row r="74" spans="1:97" s="298" customFormat="1" ht="24.6" outlineLevel="1" thickTop="1" thickBot="1" x14ac:dyDescent="0.5">
      <c r="A74" s="341" t="s">
        <v>182</v>
      </c>
      <c r="B74" s="342"/>
      <c r="C74" s="498">
        <v>0</v>
      </c>
      <c r="D74" s="499">
        <v>0</v>
      </c>
      <c r="E74" s="571">
        <v>0</v>
      </c>
      <c r="F74" s="300">
        <v>0</v>
      </c>
      <c r="G74" s="589">
        <v>0</v>
      </c>
      <c r="H74" s="648">
        <v>0</v>
      </c>
      <c r="I74" s="549">
        <f t="shared" si="2"/>
        <v>0</v>
      </c>
      <c r="J74" s="278"/>
      <c r="K74" s="278"/>
      <c r="L74" s="278"/>
      <c r="M74" s="278"/>
      <c r="N74" s="278"/>
      <c r="O74" s="278"/>
      <c r="P74" s="278"/>
      <c r="Q74" s="278"/>
      <c r="R74" s="278"/>
      <c r="S74" s="278"/>
      <c r="T74" s="278"/>
      <c r="U74" s="278"/>
      <c r="V74" s="278"/>
      <c r="W74" s="278"/>
      <c r="X74" s="278"/>
      <c r="Y74" s="278"/>
      <c r="Z74" s="278"/>
      <c r="AA74" s="278"/>
      <c r="AB74" s="278"/>
      <c r="AC74" s="278"/>
      <c r="AD74" s="278"/>
      <c r="AE74" s="278"/>
      <c r="AF74" s="278"/>
      <c r="AG74" s="278"/>
      <c r="AH74" s="278"/>
      <c r="AI74" s="278"/>
      <c r="AJ74" s="278"/>
      <c r="AK74" s="278"/>
      <c r="AL74" s="278"/>
      <c r="AM74" s="278"/>
      <c r="AN74" s="278"/>
      <c r="AO74" s="278"/>
      <c r="AP74" s="278"/>
      <c r="AQ74" s="278"/>
      <c r="AR74" s="278"/>
      <c r="AS74" s="278"/>
      <c r="AT74" s="278"/>
      <c r="AU74" s="278"/>
      <c r="AV74" s="278"/>
      <c r="AW74" s="278"/>
      <c r="AX74" s="278"/>
      <c r="AY74" s="278"/>
      <c r="AZ74" s="278"/>
      <c r="BA74" s="278"/>
      <c r="BB74" s="278"/>
      <c r="BC74" s="278"/>
      <c r="BD74" s="278"/>
      <c r="BE74" s="278"/>
      <c r="BF74" s="278"/>
      <c r="BG74" s="278"/>
      <c r="BH74" s="278"/>
      <c r="BI74" s="278"/>
      <c r="BJ74" s="278"/>
      <c r="BK74" s="278"/>
      <c r="BL74" s="278"/>
      <c r="BM74" s="278"/>
      <c r="BN74" s="278"/>
      <c r="BO74" s="278"/>
      <c r="BP74" s="278"/>
      <c r="BQ74" s="278"/>
      <c r="BR74" s="278"/>
      <c r="BS74" s="278"/>
      <c r="BT74" s="278"/>
      <c r="BU74" s="278"/>
      <c r="BV74" s="278"/>
      <c r="BW74" s="278"/>
      <c r="BX74" s="278"/>
      <c r="BY74" s="278"/>
      <c r="BZ74" s="278"/>
      <c r="CA74" s="278"/>
      <c r="CB74" s="278"/>
      <c r="CC74" s="278"/>
      <c r="CD74" s="278"/>
      <c r="CE74" s="278"/>
      <c r="CF74" s="278"/>
      <c r="CG74" s="278"/>
      <c r="CH74" s="278"/>
      <c r="CI74" s="278"/>
      <c r="CJ74" s="278"/>
      <c r="CK74" s="278"/>
      <c r="CL74" s="278"/>
      <c r="CM74" s="278"/>
      <c r="CN74" s="278"/>
      <c r="CO74" s="278"/>
      <c r="CP74" s="278"/>
      <c r="CQ74" s="278"/>
      <c r="CR74" s="278"/>
      <c r="CS74" s="278"/>
    </row>
    <row r="75" spans="1:97" s="298" customFormat="1" ht="24.6" outlineLevel="1" thickTop="1" thickBot="1" x14ac:dyDescent="0.5">
      <c r="A75" s="341" t="s">
        <v>183</v>
      </c>
      <c r="B75" s="342"/>
      <c r="C75" s="498">
        <v>0</v>
      </c>
      <c r="D75" s="499">
        <v>0</v>
      </c>
      <c r="E75" s="571">
        <v>0</v>
      </c>
      <c r="F75" s="300">
        <v>0</v>
      </c>
      <c r="G75" s="589">
        <v>0</v>
      </c>
      <c r="H75" s="648">
        <v>0</v>
      </c>
      <c r="I75" s="549">
        <f t="shared" ref="I75:I83" si="17">E75-D75</f>
        <v>0</v>
      </c>
      <c r="J75" s="278"/>
      <c r="K75" s="278"/>
      <c r="L75" s="278"/>
      <c r="M75" s="278"/>
      <c r="N75" s="278"/>
      <c r="O75" s="278"/>
      <c r="P75" s="278"/>
      <c r="Q75" s="278"/>
      <c r="R75" s="278"/>
      <c r="S75" s="278"/>
      <c r="T75" s="278"/>
      <c r="U75" s="278"/>
      <c r="V75" s="278"/>
      <c r="W75" s="278"/>
      <c r="X75" s="278"/>
      <c r="Y75" s="278"/>
      <c r="Z75" s="278"/>
      <c r="AA75" s="278"/>
      <c r="AB75" s="278"/>
      <c r="AC75" s="278"/>
      <c r="AD75" s="278"/>
      <c r="AE75" s="278"/>
      <c r="AF75" s="278"/>
      <c r="AG75" s="278"/>
      <c r="AH75" s="278"/>
      <c r="AI75" s="278"/>
      <c r="AJ75" s="278"/>
      <c r="AK75" s="278"/>
      <c r="AL75" s="278"/>
      <c r="AM75" s="278"/>
      <c r="AN75" s="278"/>
      <c r="AO75" s="278"/>
      <c r="AP75" s="278"/>
      <c r="AQ75" s="278"/>
      <c r="AR75" s="278"/>
      <c r="AS75" s="278"/>
      <c r="AT75" s="278"/>
      <c r="AU75" s="278"/>
      <c r="AV75" s="278"/>
      <c r="AW75" s="278"/>
      <c r="AX75" s="278"/>
      <c r="AY75" s="278"/>
      <c r="AZ75" s="278"/>
      <c r="BA75" s="278"/>
      <c r="BB75" s="278"/>
      <c r="BC75" s="278"/>
      <c r="BD75" s="278"/>
      <c r="BE75" s="278"/>
      <c r="BF75" s="278"/>
      <c r="BG75" s="278"/>
      <c r="BH75" s="278"/>
      <c r="BI75" s="278"/>
      <c r="BJ75" s="278"/>
      <c r="BK75" s="278"/>
      <c r="BL75" s="278"/>
      <c r="BM75" s="278"/>
      <c r="BN75" s="278"/>
      <c r="BO75" s="278"/>
      <c r="BP75" s="278"/>
      <c r="BQ75" s="278"/>
      <c r="BR75" s="278"/>
      <c r="BS75" s="278"/>
      <c r="BT75" s="278"/>
      <c r="BU75" s="278"/>
      <c r="BV75" s="278"/>
      <c r="BW75" s="278"/>
      <c r="BX75" s="278"/>
      <c r="BY75" s="278"/>
      <c r="BZ75" s="278"/>
      <c r="CA75" s="278"/>
      <c r="CB75" s="278"/>
      <c r="CC75" s="278"/>
      <c r="CD75" s="278"/>
      <c r="CE75" s="278"/>
      <c r="CF75" s="278"/>
      <c r="CG75" s="278"/>
      <c r="CH75" s="278"/>
      <c r="CI75" s="278"/>
      <c r="CJ75" s="278"/>
      <c r="CK75" s="278"/>
      <c r="CL75" s="278"/>
      <c r="CM75" s="278"/>
      <c r="CN75" s="278"/>
      <c r="CO75" s="278"/>
      <c r="CP75" s="278"/>
      <c r="CQ75" s="278"/>
      <c r="CR75" s="278"/>
      <c r="CS75" s="278"/>
    </row>
    <row r="76" spans="1:97" s="298" customFormat="1" ht="24.6" outlineLevel="1" thickTop="1" thickBot="1" x14ac:dyDescent="0.5">
      <c r="A76" s="341" t="s">
        <v>184</v>
      </c>
      <c r="B76" s="342"/>
      <c r="C76" s="498">
        <v>1058.81</v>
      </c>
      <c r="D76" s="499">
        <f>C76</f>
        <v>1058.81</v>
      </c>
      <c r="E76" s="571">
        <v>1000</v>
      </c>
      <c r="F76" s="300">
        <v>0</v>
      </c>
      <c r="G76" s="589">
        <v>1000</v>
      </c>
      <c r="H76" s="648">
        <v>1000</v>
      </c>
      <c r="I76" s="549">
        <f t="shared" si="17"/>
        <v>-58.809999999999945</v>
      </c>
      <c r="J76" s="278"/>
      <c r="K76" s="278"/>
      <c r="L76" s="278"/>
      <c r="M76" s="278"/>
      <c r="N76" s="278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278"/>
      <c r="AA76" s="278"/>
      <c r="AB76" s="278"/>
      <c r="AC76" s="278"/>
      <c r="AD76" s="278"/>
      <c r="AE76" s="278"/>
      <c r="AF76" s="278"/>
      <c r="AG76" s="278"/>
      <c r="AH76" s="278"/>
      <c r="AI76" s="278"/>
      <c r="AJ76" s="278"/>
      <c r="AK76" s="278"/>
      <c r="AL76" s="278"/>
      <c r="AM76" s="278"/>
      <c r="AN76" s="278"/>
      <c r="AO76" s="278"/>
      <c r="AP76" s="278"/>
      <c r="AQ76" s="278"/>
      <c r="AR76" s="278"/>
      <c r="AS76" s="278"/>
      <c r="AT76" s="278"/>
      <c r="AU76" s="278"/>
      <c r="AV76" s="278"/>
      <c r="AW76" s="278"/>
      <c r="AX76" s="278"/>
      <c r="AY76" s="278"/>
      <c r="AZ76" s="278"/>
      <c r="BA76" s="278"/>
      <c r="BB76" s="278"/>
      <c r="BC76" s="278"/>
      <c r="BD76" s="278"/>
      <c r="BE76" s="278"/>
      <c r="BF76" s="278"/>
      <c r="BG76" s="278"/>
      <c r="BH76" s="278"/>
      <c r="BI76" s="278"/>
      <c r="BJ76" s="278"/>
      <c r="BK76" s="278"/>
      <c r="BL76" s="278"/>
      <c r="BM76" s="278"/>
      <c r="BN76" s="278"/>
      <c r="BO76" s="278"/>
      <c r="BP76" s="278"/>
      <c r="BQ76" s="278"/>
      <c r="BR76" s="278"/>
      <c r="BS76" s="278"/>
      <c r="BT76" s="278"/>
      <c r="BU76" s="278"/>
      <c r="BV76" s="278"/>
      <c r="BW76" s="278"/>
      <c r="BX76" s="278"/>
      <c r="BY76" s="278"/>
      <c r="BZ76" s="278"/>
      <c r="CA76" s="278"/>
      <c r="CB76" s="278"/>
      <c r="CC76" s="278"/>
      <c r="CD76" s="278"/>
      <c r="CE76" s="278"/>
      <c r="CF76" s="278"/>
      <c r="CG76" s="278"/>
      <c r="CH76" s="278"/>
      <c r="CI76" s="278"/>
      <c r="CJ76" s="278"/>
      <c r="CK76" s="278"/>
      <c r="CL76" s="278"/>
      <c r="CM76" s="278"/>
      <c r="CN76" s="278"/>
      <c r="CO76" s="278"/>
      <c r="CP76" s="278"/>
      <c r="CQ76" s="278"/>
      <c r="CR76" s="278"/>
      <c r="CS76" s="278"/>
    </row>
    <row r="77" spans="1:97" s="298" customFormat="1" ht="24.6" outlineLevel="1" thickTop="1" thickBot="1" x14ac:dyDescent="0.5">
      <c r="A77" s="341" t="s">
        <v>185</v>
      </c>
      <c r="B77" s="342"/>
      <c r="C77" s="498">
        <v>0</v>
      </c>
      <c r="D77" s="499">
        <v>0</v>
      </c>
      <c r="E77" s="571">
        <v>0</v>
      </c>
      <c r="F77" s="300">
        <v>1000</v>
      </c>
      <c r="G77" s="589">
        <v>0</v>
      </c>
      <c r="H77" s="648">
        <v>0</v>
      </c>
      <c r="I77" s="549">
        <f>E77-D77</f>
        <v>0</v>
      </c>
      <c r="J77" s="278"/>
      <c r="K77" s="278"/>
      <c r="L77" s="278"/>
      <c r="M77" s="278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278"/>
      <c r="BK77" s="278"/>
      <c r="BL77" s="278"/>
      <c r="BM77" s="278"/>
      <c r="BN77" s="278"/>
      <c r="BO77" s="278"/>
      <c r="BP77" s="278"/>
      <c r="BQ77" s="278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78"/>
      <c r="CF77" s="278"/>
      <c r="CG77" s="278"/>
      <c r="CH77" s="278"/>
      <c r="CI77" s="278"/>
      <c r="CJ77" s="278"/>
      <c r="CK77" s="278"/>
      <c r="CL77" s="278"/>
      <c r="CM77" s="278"/>
      <c r="CN77" s="278"/>
      <c r="CO77" s="278"/>
      <c r="CP77" s="278"/>
      <c r="CQ77" s="278"/>
      <c r="CR77" s="278"/>
      <c r="CS77" s="278"/>
    </row>
    <row r="78" spans="1:97" s="298" customFormat="1" ht="24.6" outlineLevel="1" thickTop="1" thickBot="1" x14ac:dyDescent="0.5">
      <c r="A78" s="341" t="s">
        <v>186</v>
      </c>
      <c r="B78" s="342"/>
      <c r="C78" s="498">
        <v>0</v>
      </c>
      <c r="D78" s="499">
        <v>0</v>
      </c>
      <c r="E78" s="571">
        <v>0</v>
      </c>
      <c r="F78" s="300">
        <v>0</v>
      </c>
      <c r="G78" s="589">
        <v>0</v>
      </c>
      <c r="H78" s="648">
        <v>0</v>
      </c>
      <c r="I78" s="549">
        <f t="shared" si="17"/>
        <v>0</v>
      </c>
      <c r="J78" s="278"/>
      <c r="K78" s="278"/>
      <c r="L78" s="278"/>
      <c r="M78" s="278"/>
      <c r="N78" s="278"/>
      <c r="O78" s="278"/>
      <c r="P78" s="278"/>
      <c r="Q78" s="278"/>
      <c r="R78" s="278"/>
      <c r="S78" s="278"/>
      <c r="T78" s="278"/>
      <c r="U78" s="278"/>
      <c r="V78" s="278"/>
      <c r="W78" s="278"/>
      <c r="X78" s="278"/>
      <c r="Y78" s="278"/>
      <c r="Z78" s="278"/>
      <c r="AA78" s="278"/>
      <c r="AB78" s="278"/>
      <c r="AC78" s="278"/>
      <c r="AD78" s="278"/>
      <c r="AE78" s="278"/>
      <c r="AF78" s="278"/>
      <c r="AG78" s="278"/>
      <c r="AH78" s="278"/>
      <c r="AI78" s="278"/>
      <c r="AJ78" s="278"/>
      <c r="AK78" s="278"/>
      <c r="AL78" s="278"/>
      <c r="AM78" s="278"/>
      <c r="AN78" s="278"/>
      <c r="AO78" s="278"/>
      <c r="AP78" s="278"/>
      <c r="AQ78" s="278"/>
      <c r="AR78" s="278"/>
      <c r="AS78" s="278"/>
      <c r="AT78" s="278"/>
      <c r="AU78" s="278"/>
      <c r="AV78" s="278"/>
      <c r="AW78" s="278"/>
      <c r="AX78" s="278"/>
      <c r="AY78" s="278"/>
      <c r="AZ78" s="278"/>
      <c r="BA78" s="278"/>
      <c r="BB78" s="278"/>
      <c r="BC78" s="278"/>
      <c r="BD78" s="278"/>
      <c r="BE78" s="278"/>
      <c r="BF78" s="278"/>
      <c r="BG78" s="278"/>
      <c r="BH78" s="278"/>
      <c r="BI78" s="278"/>
      <c r="BJ78" s="278"/>
      <c r="BK78" s="278"/>
      <c r="BL78" s="278"/>
      <c r="BM78" s="278"/>
      <c r="BN78" s="278"/>
      <c r="BO78" s="278"/>
      <c r="BP78" s="278"/>
      <c r="BQ78" s="278"/>
      <c r="BR78" s="278"/>
      <c r="BS78" s="278"/>
      <c r="BT78" s="278"/>
      <c r="BU78" s="278"/>
      <c r="BV78" s="278"/>
      <c r="BW78" s="278"/>
      <c r="BX78" s="278"/>
      <c r="BY78" s="278"/>
      <c r="BZ78" s="278"/>
      <c r="CA78" s="278"/>
      <c r="CB78" s="278"/>
      <c r="CC78" s="278"/>
      <c r="CD78" s="278"/>
      <c r="CE78" s="278"/>
      <c r="CF78" s="278"/>
      <c r="CG78" s="278"/>
      <c r="CH78" s="278"/>
      <c r="CI78" s="278"/>
      <c r="CJ78" s="278"/>
      <c r="CK78" s="278"/>
      <c r="CL78" s="278"/>
      <c r="CM78" s="278"/>
      <c r="CN78" s="278"/>
      <c r="CO78" s="278"/>
      <c r="CP78" s="278"/>
      <c r="CQ78" s="278"/>
      <c r="CR78" s="278"/>
      <c r="CS78" s="278"/>
    </row>
    <row r="79" spans="1:97" s="298" customFormat="1" ht="24.6" outlineLevel="1" thickTop="1" thickBot="1" x14ac:dyDescent="0.5">
      <c r="A79" s="341" t="s">
        <v>187</v>
      </c>
      <c r="B79" s="342"/>
      <c r="C79" s="498">
        <v>0</v>
      </c>
      <c r="D79" s="499">
        <v>0</v>
      </c>
      <c r="E79" s="571">
        <v>0</v>
      </c>
      <c r="F79" s="300">
        <v>0</v>
      </c>
      <c r="G79" s="589">
        <v>0</v>
      </c>
      <c r="H79" s="648">
        <v>0</v>
      </c>
      <c r="I79" s="549">
        <f t="shared" si="17"/>
        <v>0</v>
      </c>
      <c r="J79" s="278"/>
      <c r="K79" s="278"/>
      <c r="L79" s="278"/>
      <c r="M79" s="278"/>
      <c r="N79" s="278"/>
      <c r="O79" s="278"/>
      <c r="P79" s="278"/>
      <c r="Q79" s="278"/>
      <c r="R79" s="278"/>
      <c r="S79" s="278"/>
      <c r="T79" s="278"/>
      <c r="U79" s="278"/>
      <c r="V79" s="278"/>
      <c r="W79" s="278"/>
      <c r="X79" s="278"/>
      <c r="Y79" s="278"/>
      <c r="Z79" s="278"/>
      <c r="AA79" s="278"/>
      <c r="AB79" s="278"/>
      <c r="AC79" s="278"/>
      <c r="AD79" s="278"/>
      <c r="AE79" s="278"/>
      <c r="AF79" s="278"/>
      <c r="AG79" s="278"/>
      <c r="AH79" s="278"/>
      <c r="AI79" s="278"/>
      <c r="AJ79" s="278"/>
      <c r="AK79" s="278"/>
      <c r="AL79" s="278"/>
      <c r="AM79" s="278"/>
      <c r="AN79" s="278"/>
      <c r="AO79" s="278"/>
      <c r="AP79" s="278"/>
      <c r="AQ79" s="278"/>
      <c r="AR79" s="278"/>
      <c r="AS79" s="278"/>
      <c r="AT79" s="278"/>
      <c r="AU79" s="278"/>
      <c r="AV79" s="278"/>
      <c r="AW79" s="278"/>
      <c r="AX79" s="278"/>
      <c r="AY79" s="278"/>
      <c r="AZ79" s="278"/>
      <c r="BA79" s="278"/>
      <c r="BB79" s="278"/>
      <c r="BC79" s="278"/>
      <c r="BD79" s="278"/>
      <c r="BE79" s="278"/>
      <c r="BF79" s="278"/>
      <c r="BG79" s="278"/>
      <c r="BH79" s="278"/>
      <c r="BI79" s="278"/>
      <c r="BJ79" s="278"/>
      <c r="BK79" s="278"/>
      <c r="BL79" s="278"/>
      <c r="BM79" s="278"/>
      <c r="BN79" s="278"/>
      <c r="BO79" s="278"/>
      <c r="BP79" s="278"/>
      <c r="BQ79" s="278"/>
      <c r="BR79" s="278"/>
      <c r="BS79" s="278"/>
      <c r="BT79" s="278"/>
      <c r="BU79" s="278"/>
      <c r="BV79" s="278"/>
      <c r="BW79" s="278"/>
      <c r="BX79" s="278"/>
      <c r="BY79" s="278"/>
      <c r="BZ79" s="278"/>
      <c r="CA79" s="278"/>
      <c r="CB79" s="278"/>
      <c r="CC79" s="278"/>
      <c r="CD79" s="278"/>
      <c r="CE79" s="278"/>
      <c r="CF79" s="278"/>
      <c r="CG79" s="278"/>
      <c r="CH79" s="278"/>
      <c r="CI79" s="278"/>
      <c r="CJ79" s="278"/>
      <c r="CK79" s="278"/>
      <c r="CL79" s="278"/>
      <c r="CM79" s="278"/>
      <c r="CN79" s="278"/>
      <c r="CO79" s="278"/>
      <c r="CP79" s="278"/>
      <c r="CQ79" s="278"/>
      <c r="CR79" s="278"/>
      <c r="CS79" s="278"/>
    </row>
    <row r="80" spans="1:97" s="298" customFormat="1" ht="24.6" outlineLevel="1" thickTop="1" thickBot="1" x14ac:dyDescent="0.5">
      <c r="A80" s="341" t="s">
        <v>188</v>
      </c>
      <c r="B80" s="342"/>
      <c r="C80" s="498">
        <v>0</v>
      </c>
      <c r="D80" s="499">
        <v>0</v>
      </c>
      <c r="E80" s="571">
        <v>0</v>
      </c>
      <c r="F80" s="300">
        <v>0</v>
      </c>
      <c r="G80" s="589">
        <v>0</v>
      </c>
      <c r="H80" s="648">
        <v>0</v>
      </c>
      <c r="I80" s="549">
        <f t="shared" si="17"/>
        <v>0</v>
      </c>
      <c r="J80" s="278"/>
      <c r="K80" s="278"/>
      <c r="L80" s="278"/>
      <c r="M80" s="278"/>
      <c r="N80" s="278"/>
      <c r="O80" s="278"/>
      <c r="P80" s="278"/>
      <c r="Q80" s="278"/>
      <c r="R80" s="278"/>
      <c r="S80" s="278"/>
      <c r="T80" s="278"/>
      <c r="U80" s="278"/>
      <c r="V80" s="278"/>
      <c r="W80" s="278"/>
      <c r="X80" s="278"/>
      <c r="Y80" s="278"/>
      <c r="Z80" s="278"/>
      <c r="AA80" s="278"/>
      <c r="AB80" s="278"/>
      <c r="AC80" s="278"/>
      <c r="AD80" s="278"/>
      <c r="AE80" s="278"/>
      <c r="AF80" s="278"/>
      <c r="AG80" s="278"/>
      <c r="AH80" s="278"/>
      <c r="AI80" s="278"/>
      <c r="AJ80" s="278"/>
      <c r="AK80" s="278"/>
      <c r="AL80" s="278"/>
      <c r="AM80" s="278"/>
      <c r="AN80" s="278"/>
      <c r="AO80" s="278"/>
      <c r="AP80" s="278"/>
      <c r="AQ80" s="278"/>
      <c r="AR80" s="278"/>
      <c r="AS80" s="278"/>
      <c r="AT80" s="278"/>
      <c r="AU80" s="278"/>
      <c r="AV80" s="278"/>
      <c r="AW80" s="278"/>
      <c r="AX80" s="278"/>
      <c r="AY80" s="278"/>
      <c r="AZ80" s="278"/>
      <c r="BA80" s="278"/>
      <c r="BB80" s="278"/>
      <c r="BC80" s="278"/>
      <c r="BD80" s="278"/>
      <c r="BE80" s="278"/>
      <c r="BF80" s="278"/>
      <c r="BG80" s="278"/>
      <c r="BH80" s="278"/>
      <c r="BI80" s="278"/>
      <c r="BJ80" s="278"/>
      <c r="BK80" s="278"/>
      <c r="BL80" s="278"/>
      <c r="BM80" s="278"/>
      <c r="BN80" s="278"/>
      <c r="BO80" s="278"/>
      <c r="BP80" s="278"/>
      <c r="BQ80" s="278"/>
      <c r="BR80" s="278"/>
      <c r="BS80" s="278"/>
      <c r="BT80" s="278"/>
      <c r="BU80" s="278"/>
      <c r="BV80" s="278"/>
      <c r="BW80" s="278"/>
      <c r="BX80" s="278"/>
      <c r="BY80" s="278"/>
      <c r="BZ80" s="278"/>
      <c r="CA80" s="278"/>
      <c r="CB80" s="278"/>
      <c r="CC80" s="278"/>
      <c r="CD80" s="278"/>
      <c r="CE80" s="278"/>
      <c r="CF80" s="278"/>
      <c r="CG80" s="278"/>
      <c r="CH80" s="278"/>
      <c r="CI80" s="278"/>
      <c r="CJ80" s="278"/>
      <c r="CK80" s="278"/>
      <c r="CL80" s="278"/>
      <c r="CM80" s="278"/>
      <c r="CN80" s="278"/>
      <c r="CO80" s="278"/>
      <c r="CP80" s="278"/>
      <c r="CQ80" s="278"/>
      <c r="CR80" s="278"/>
      <c r="CS80" s="278"/>
    </row>
    <row r="81" spans="1:97" s="298" customFormat="1" ht="24.6" outlineLevel="1" thickTop="1" thickBot="1" x14ac:dyDescent="0.5">
      <c r="A81" s="341" t="s">
        <v>489</v>
      </c>
      <c r="B81" s="342"/>
      <c r="C81" s="498">
        <v>0</v>
      </c>
      <c r="D81" s="499">
        <v>0</v>
      </c>
      <c r="E81" s="571">
        <v>0</v>
      </c>
      <c r="F81" s="300">
        <v>0</v>
      </c>
      <c r="G81" s="589">
        <v>0</v>
      </c>
      <c r="H81" s="648">
        <v>600000</v>
      </c>
      <c r="I81" s="549">
        <f t="shared" si="17"/>
        <v>0</v>
      </c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278"/>
      <c r="Z81" s="278"/>
      <c r="AA81" s="278"/>
      <c r="AB81" s="278"/>
      <c r="AC81" s="278"/>
      <c r="AD81" s="278"/>
      <c r="AE81" s="278"/>
      <c r="AF81" s="278"/>
      <c r="AG81" s="278"/>
      <c r="AH81" s="278"/>
      <c r="AI81" s="278"/>
      <c r="AJ81" s="278"/>
      <c r="AK81" s="278"/>
      <c r="AL81" s="278"/>
      <c r="AM81" s="278"/>
      <c r="AN81" s="278"/>
      <c r="AO81" s="278"/>
      <c r="AP81" s="278"/>
      <c r="AQ81" s="278"/>
      <c r="AR81" s="278"/>
      <c r="AS81" s="278"/>
      <c r="AT81" s="278"/>
      <c r="AU81" s="278"/>
      <c r="AV81" s="278"/>
      <c r="AW81" s="278"/>
      <c r="AX81" s="278"/>
      <c r="AY81" s="278"/>
      <c r="AZ81" s="278"/>
      <c r="BA81" s="278"/>
      <c r="BB81" s="278"/>
      <c r="BC81" s="278"/>
      <c r="BD81" s="278"/>
      <c r="BE81" s="278"/>
      <c r="BF81" s="278"/>
      <c r="BG81" s="278"/>
      <c r="BH81" s="278"/>
      <c r="BI81" s="278"/>
      <c r="BJ81" s="278"/>
      <c r="BK81" s="278"/>
      <c r="BL81" s="278"/>
      <c r="BM81" s="278"/>
      <c r="BN81" s="278"/>
      <c r="BO81" s="278"/>
      <c r="BP81" s="278"/>
      <c r="BQ81" s="278"/>
      <c r="BR81" s="278"/>
      <c r="BS81" s="278"/>
      <c r="BT81" s="278"/>
      <c r="BU81" s="278"/>
      <c r="BV81" s="278"/>
      <c r="BW81" s="278"/>
      <c r="BX81" s="278"/>
      <c r="BY81" s="278"/>
      <c r="BZ81" s="278"/>
      <c r="CA81" s="278"/>
      <c r="CB81" s="278"/>
      <c r="CC81" s="278"/>
      <c r="CD81" s="278"/>
      <c r="CE81" s="278"/>
      <c r="CF81" s="278"/>
      <c r="CG81" s="278"/>
      <c r="CH81" s="278"/>
      <c r="CI81" s="278"/>
      <c r="CJ81" s="278"/>
      <c r="CK81" s="278"/>
      <c r="CL81" s="278"/>
      <c r="CM81" s="278"/>
      <c r="CN81" s="278"/>
      <c r="CO81" s="278"/>
      <c r="CP81" s="278"/>
      <c r="CQ81" s="278"/>
      <c r="CR81" s="278"/>
      <c r="CS81" s="278"/>
    </row>
    <row r="82" spans="1:97" s="298" customFormat="1" ht="24.6" outlineLevel="1" thickTop="1" thickBot="1" x14ac:dyDescent="0.5">
      <c r="A82" s="341" t="s">
        <v>490</v>
      </c>
      <c r="B82" s="342"/>
      <c r="C82" s="498">
        <v>0</v>
      </c>
      <c r="D82" s="499">
        <f>C82*1.05</f>
        <v>0</v>
      </c>
      <c r="E82" s="571">
        <v>0</v>
      </c>
      <c r="F82" s="300">
        <v>0</v>
      </c>
      <c r="G82" s="589">
        <v>0</v>
      </c>
      <c r="H82" s="648">
        <v>900000</v>
      </c>
      <c r="I82" s="549">
        <f t="shared" si="17"/>
        <v>0</v>
      </c>
      <c r="J82" s="278"/>
      <c r="K82" s="278"/>
      <c r="L82" s="278"/>
      <c r="M82" s="278"/>
      <c r="N82" s="278"/>
      <c r="O82" s="278"/>
      <c r="P82" s="278"/>
      <c r="Q82" s="278"/>
      <c r="R82" s="278"/>
      <c r="S82" s="278"/>
      <c r="T82" s="278"/>
      <c r="U82" s="278"/>
      <c r="V82" s="278"/>
      <c r="W82" s="278"/>
      <c r="X82" s="278"/>
      <c r="Y82" s="278"/>
      <c r="Z82" s="278"/>
      <c r="AA82" s="278"/>
      <c r="AB82" s="278"/>
      <c r="AC82" s="278"/>
      <c r="AD82" s="278"/>
      <c r="AE82" s="278"/>
      <c r="AF82" s="278"/>
      <c r="AG82" s="278"/>
      <c r="AH82" s="278"/>
      <c r="AI82" s="278"/>
      <c r="AJ82" s="278"/>
      <c r="AK82" s="278"/>
      <c r="AL82" s="278"/>
      <c r="AM82" s="278"/>
      <c r="AN82" s="278"/>
      <c r="AO82" s="278"/>
      <c r="AP82" s="278"/>
      <c r="AQ82" s="278"/>
      <c r="AR82" s="278"/>
      <c r="AS82" s="278"/>
      <c r="AT82" s="278"/>
      <c r="AU82" s="278"/>
      <c r="AV82" s="278"/>
      <c r="AW82" s="278"/>
      <c r="AX82" s="278"/>
      <c r="AY82" s="278"/>
      <c r="AZ82" s="278"/>
      <c r="BA82" s="278"/>
      <c r="BB82" s="278"/>
      <c r="BC82" s="278"/>
      <c r="BD82" s="278"/>
      <c r="BE82" s="278"/>
      <c r="BF82" s="278"/>
      <c r="BG82" s="278"/>
      <c r="BH82" s="278"/>
      <c r="BI82" s="278"/>
      <c r="BJ82" s="278"/>
      <c r="BK82" s="278"/>
      <c r="BL82" s="278"/>
      <c r="BM82" s="278"/>
      <c r="BN82" s="278"/>
      <c r="BO82" s="278"/>
      <c r="BP82" s="278"/>
      <c r="BQ82" s="278"/>
      <c r="BR82" s="278"/>
      <c r="BS82" s="278"/>
      <c r="BT82" s="278"/>
      <c r="BU82" s="278"/>
      <c r="BV82" s="278"/>
      <c r="BW82" s="278"/>
      <c r="BX82" s="278"/>
      <c r="BY82" s="278"/>
      <c r="BZ82" s="278"/>
      <c r="CA82" s="278"/>
      <c r="CB82" s="278"/>
      <c r="CC82" s="278"/>
      <c r="CD82" s="278"/>
      <c r="CE82" s="278"/>
      <c r="CF82" s="278"/>
      <c r="CG82" s="278"/>
      <c r="CH82" s="278"/>
      <c r="CI82" s="278"/>
      <c r="CJ82" s="278"/>
      <c r="CK82" s="278"/>
      <c r="CL82" s="278"/>
      <c r="CM82" s="278"/>
      <c r="CN82" s="278"/>
      <c r="CO82" s="278"/>
      <c r="CP82" s="278"/>
      <c r="CQ82" s="278"/>
      <c r="CR82" s="278"/>
      <c r="CS82" s="278"/>
    </row>
    <row r="83" spans="1:97" s="298" customFormat="1" ht="24.6" outlineLevel="1" thickTop="1" thickBot="1" x14ac:dyDescent="0.5">
      <c r="A83" s="341" t="s">
        <v>491</v>
      </c>
      <c r="B83" s="342"/>
      <c r="C83" s="498">
        <v>0</v>
      </c>
      <c r="D83" s="499">
        <f>C83*1.05</f>
        <v>0</v>
      </c>
      <c r="E83" s="571">
        <v>0</v>
      </c>
      <c r="F83" s="300">
        <v>0</v>
      </c>
      <c r="G83" s="589">
        <v>0</v>
      </c>
      <c r="H83" s="648">
        <v>440000</v>
      </c>
      <c r="I83" s="549">
        <f t="shared" si="17"/>
        <v>0</v>
      </c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278"/>
      <c r="AH83" s="278"/>
      <c r="AI83" s="278"/>
      <c r="AJ83" s="278"/>
      <c r="AK83" s="278"/>
      <c r="AL83" s="278"/>
      <c r="AM83" s="278"/>
      <c r="AN83" s="278"/>
      <c r="AO83" s="278"/>
      <c r="AP83" s="278"/>
      <c r="AQ83" s="278"/>
      <c r="AR83" s="278"/>
      <c r="AS83" s="278"/>
      <c r="AT83" s="278"/>
      <c r="AU83" s="278"/>
      <c r="AV83" s="278"/>
      <c r="AW83" s="278"/>
      <c r="AX83" s="278"/>
      <c r="AY83" s="278"/>
      <c r="AZ83" s="278"/>
      <c r="BA83" s="278"/>
      <c r="BB83" s="278"/>
      <c r="BC83" s="278"/>
      <c r="BD83" s="278"/>
      <c r="BE83" s="278"/>
      <c r="BF83" s="278"/>
      <c r="BG83" s="278"/>
      <c r="BH83" s="278"/>
      <c r="BI83" s="278"/>
      <c r="BJ83" s="278"/>
      <c r="BK83" s="278"/>
      <c r="BL83" s="278"/>
      <c r="BM83" s="278"/>
      <c r="BN83" s="278"/>
      <c r="BO83" s="278"/>
      <c r="BP83" s="278"/>
      <c r="BQ83" s="278"/>
      <c r="BR83" s="278"/>
      <c r="BS83" s="278"/>
      <c r="BT83" s="278"/>
      <c r="BU83" s="278"/>
      <c r="BV83" s="278"/>
      <c r="BW83" s="278"/>
      <c r="BX83" s="278"/>
      <c r="BY83" s="278"/>
      <c r="BZ83" s="278"/>
      <c r="CA83" s="278"/>
      <c r="CB83" s="278"/>
      <c r="CC83" s="278"/>
      <c r="CD83" s="278"/>
      <c r="CE83" s="278"/>
      <c r="CF83" s="278"/>
      <c r="CG83" s="278"/>
      <c r="CH83" s="278"/>
      <c r="CI83" s="278"/>
      <c r="CJ83" s="278"/>
      <c r="CK83" s="278"/>
      <c r="CL83" s="278"/>
      <c r="CM83" s="278"/>
      <c r="CN83" s="278"/>
      <c r="CO83" s="278"/>
      <c r="CP83" s="278"/>
      <c r="CQ83" s="278"/>
      <c r="CR83" s="278"/>
      <c r="CS83" s="278"/>
    </row>
    <row r="84" spans="1:97" s="298" customFormat="1" ht="24.6" outlineLevel="1" thickTop="1" thickBot="1" x14ac:dyDescent="0.5">
      <c r="A84" s="343"/>
      <c r="B84" s="97"/>
      <c r="C84" s="344"/>
      <c r="D84" s="97"/>
      <c r="E84" s="343"/>
      <c r="F84" s="300">
        <v>0</v>
      </c>
      <c r="G84" s="590"/>
      <c r="H84" s="407"/>
      <c r="I84" s="549"/>
      <c r="J84" s="278"/>
      <c r="K84" s="278"/>
      <c r="L84" s="278"/>
      <c r="M84" s="278"/>
      <c r="N84" s="278"/>
      <c r="O84" s="278"/>
      <c r="P84" s="278"/>
      <c r="Q84" s="278"/>
      <c r="R84" s="278"/>
      <c r="S84" s="278"/>
      <c r="T84" s="278"/>
      <c r="U84" s="278"/>
      <c r="V84" s="278"/>
      <c r="W84" s="278"/>
      <c r="X84" s="278"/>
      <c r="Y84" s="278"/>
      <c r="Z84" s="278"/>
      <c r="AA84" s="278"/>
      <c r="AB84" s="278"/>
      <c r="AC84" s="278"/>
      <c r="AD84" s="278"/>
      <c r="AE84" s="278"/>
      <c r="AF84" s="278"/>
      <c r="AG84" s="278"/>
      <c r="AH84" s="278"/>
      <c r="AI84" s="278"/>
      <c r="AJ84" s="278"/>
      <c r="AK84" s="278"/>
      <c r="AL84" s="278"/>
      <c r="AM84" s="278"/>
      <c r="AN84" s="278"/>
      <c r="AO84" s="278"/>
      <c r="AP84" s="278"/>
      <c r="AQ84" s="278"/>
      <c r="AR84" s="278"/>
      <c r="AS84" s="278"/>
      <c r="AT84" s="278"/>
      <c r="AU84" s="278"/>
      <c r="AV84" s="278"/>
      <c r="AW84" s="278"/>
      <c r="AX84" s="278"/>
      <c r="AY84" s="278"/>
      <c r="AZ84" s="278"/>
      <c r="BA84" s="278"/>
      <c r="BB84" s="278"/>
      <c r="BC84" s="278"/>
      <c r="BD84" s="278"/>
      <c r="BE84" s="278"/>
      <c r="BF84" s="278"/>
      <c r="BG84" s="278"/>
      <c r="BH84" s="278"/>
      <c r="BI84" s="278"/>
      <c r="BJ84" s="278"/>
      <c r="BK84" s="278"/>
      <c r="BL84" s="278"/>
      <c r="BM84" s="278"/>
      <c r="BN84" s="278"/>
      <c r="BO84" s="278"/>
      <c r="BP84" s="278"/>
      <c r="BQ84" s="278"/>
      <c r="BR84" s="278"/>
      <c r="BS84" s="278"/>
      <c r="BT84" s="278"/>
      <c r="BU84" s="278"/>
      <c r="BV84" s="278"/>
      <c r="BW84" s="278"/>
      <c r="BX84" s="278"/>
      <c r="BY84" s="278"/>
      <c r="BZ84" s="278"/>
      <c r="CA84" s="278"/>
      <c r="CB84" s="278"/>
      <c r="CC84" s="278"/>
      <c r="CD84" s="278"/>
      <c r="CE84" s="278"/>
      <c r="CF84" s="278"/>
      <c r="CG84" s="278"/>
      <c r="CH84" s="278"/>
      <c r="CI84" s="278"/>
      <c r="CJ84" s="278"/>
      <c r="CK84" s="278"/>
      <c r="CL84" s="278"/>
      <c r="CM84" s="278"/>
      <c r="CN84" s="278"/>
      <c r="CO84" s="278"/>
      <c r="CP84" s="278"/>
      <c r="CQ84" s="278"/>
      <c r="CR84" s="278"/>
      <c r="CS84" s="278"/>
    </row>
    <row r="85" spans="1:97" ht="24.6" thickTop="1" thickBot="1" x14ac:dyDescent="0.5">
      <c r="A85" s="345" t="s">
        <v>16</v>
      </c>
      <c r="B85" s="346"/>
      <c r="C85" s="347">
        <f>SUM(C72,C62,C65,C60,C58,C55,C53,C50,C48,C46,C42,C40,C38,C30,C28,C26,C24,C22,C19,C11,C9,C7)</f>
        <v>1157390.46</v>
      </c>
      <c r="D85" s="347">
        <f>SUM(D72,D62,D65,D60,D58,D55,D53,D50,D48,D46,D42,D40,D38,D30,D28,D26,D24,D22,D19,D11,D9,D7)</f>
        <v>1247091.9310999999</v>
      </c>
      <c r="E85" s="573">
        <f>SUM(E72,E62,E65,E60,E58,E55,E53,E50,E48,E46,E42,E40,E38,E30,E28,E26,E24,E22,E19,E11,E9,E7)</f>
        <v>1159570</v>
      </c>
      <c r="F85" s="396"/>
      <c r="G85" s="591">
        <f t="shared" ref="G85" si="18">SUM(G72,G62,G65,G60,G58,G55,G53,G50,G48,G46,G42,G40,G38,G30,G28,G26,G24,G22,G19,G11,G9)</f>
        <v>804844.54</v>
      </c>
      <c r="H85" s="564">
        <f>SUM(H72,H62,H65,H60,H58,H55,H53,H50,H48,H46,H42,H40,H38,H30,H28,H26,H24,H22,H19,H11,H9,H7)</f>
        <v>3231379.5</v>
      </c>
      <c r="I85" s="550" t="e">
        <f>SUM(I10:I83)</f>
        <v>#VALUE!</v>
      </c>
      <c r="J85" s="688">
        <f>H85-1940000-370000</f>
        <v>921379.5</v>
      </c>
    </row>
    <row r="86" spans="1:97" s="310" customFormat="1" ht="24.6" thickTop="1" thickBot="1" x14ac:dyDescent="0.5">
      <c r="A86" s="343"/>
      <c r="B86" s="97"/>
      <c r="C86" s="348"/>
      <c r="D86" s="348"/>
      <c r="E86" s="574"/>
      <c r="F86" s="308">
        <f>SUM(F73,F63,F66,F61,F59,F56,F54,F51,F49,F47,F43,F41,F39,F31,F29,F27,F25,F23,F20,F11,F9)</f>
        <v>723290.80470500002</v>
      </c>
      <c r="G86" s="592"/>
      <c r="H86" s="407"/>
      <c r="I86" s="549"/>
      <c r="J86" s="309"/>
      <c r="K86" s="309"/>
      <c r="L86" s="309"/>
      <c r="M86" s="309"/>
      <c r="N86" s="309"/>
      <c r="O86" s="309"/>
      <c r="P86" s="309"/>
      <c r="Q86" s="309"/>
      <c r="R86" s="309"/>
      <c r="S86" s="309"/>
      <c r="T86" s="309"/>
      <c r="U86" s="309"/>
      <c r="V86" s="309"/>
      <c r="W86" s="309"/>
      <c r="X86" s="309"/>
      <c r="Y86" s="309"/>
      <c r="Z86" s="309"/>
      <c r="AA86" s="309"/>
      <c r="AB86" s="309"/>
      <c r="AC86" s="309"/>
      <c r="AD86" s="309"/>
      <c r="AE86" s="309"/>
      <c r="AF86" s="309"/>
      <c r="AG86" s="309"/>
      <c r="AH86" s="309"/>
      <c r="AI86" s="309"/>
      <c r="AJ86" s="309"/>
      <c r="AK86" s="309"/>
      <c r="AL86" s="309"/>
      <c r="AM86" s="309"/>
      <c r="AN86" s="309"/>
      <c r="AO86" s="309"/>
      <c r="AP86" s="309"/>
      <c r="AQ86" s="309"/>
      <c r="AR86" s="309"/>
      <c r="AS86" s="309"/>
      <c r="AT86" s="309"/>
      <c r="AU86" s="309"/>
      <c r="AV86" s="309"/>
      <c r="AW86" s="309"/>
      <c r="AX86" s="309"/>
      <c r="AY86" s="309"/>
      <c r="AZ86" s="309"/>
      <c r="BA86" s="309"/>
      <c r="BB86" s="309"/>
      <c r="BC86" s="309"/>
      <c r="BD86" s="309"/>
      <c r="BE86" s="309"/>
      <c r="BF86" s="309"/>
      <c r="BG86" s="309"/>
      <c r="BH86" s="309"/>
      <c r="BI86" s="309"/>
      <c r="BJ86" s="309"/>
      <c r="BK86" s="309"/>
      <c r="BL86" s="309"/>
      <c r="BM86" s="309"/>
      <c r="BN86" s="309"/>
      <c r="BO86" s="309"/>
      <c r="BP86" s="309"/>
      <c r="BQ86" s="309"/>
      <c r="BR86" s="309"/>
      <c r="BS86" s="309"/>
      <c r="BT86" s="309"/>
      <c r="BU86" s="309"/>
      <c r="BV86" s="309"/>
      <c r="BW86" s="309"/>
      <c r="BX86" s="309"/>
      <c r="BY86" s="309"/>
      <c r="BZ86" s="309"/>
      <c r="CA86" s="309"/>
      <c r="CB86" s="309"/>
      <c r="CC86" s="309"/>
      <c r="CD86" s="309"/>
      <c r="CE86" s="309"/>
      <c r="CF86" s="309"/>
      <c r="CG86" s="309"/>
      <c r="CH86" s="309"/>
      <c r="CI86" s="309"/>
      <c r="CJ86" s="309"/>
      <c r="CK86" s="309"/>
      <c r="CL86" s="309"/>
      <c r="CM86" s="309"/>
      <c r="CN86" s="309"/>
      <c r="CO86" s="309"/>
      <c r="CP86" s="309"/>
      <c r="CQ86" s="309"/>
      <c r="CR86" s="309"/>
      <c r="CS86" s="309"/>
    </row>
    <row r="87" spans="1:97" ht="24.6" thickTop="1" thickBot="1" x14ac:dyDescent="0.5">
      <c r="A87" s="93" t="s">
        <v>189</v>
      </c>
      <c r="B87" s="349"/>
      <c r="C87" s="350">
        <f t="shared" ref="C87:E87" si="19">C85+C5</f>
        <v>3599181.3899999997</v>
      </c>
      <c r="D87" s="350">
        <f>D85+D5</f>
        <v>3688882.8610999994</v>
      </c>
      <c r="E87" s="575">
        <f t="shared" si="19"/>
        <v>1159570</v>
      </c>
      <c r="F87" s="578"/>
      <c r="G87" s="593">
        <f t="shared" ref="G87:H87" si="20">G85+G5</f>
        <v>1287064.53</v>
      </c>
      <c r="H87" s="565">
        <f t="shared" si="20"/>
        <v>5673170.4299999997</v>
      </c>
      <c r="I87" s="549"/>
      <c r="J87" s="284"/>
    </row>
    <row r="88" spans="1:97" s="310" customFormat="1" ht="24" thickBot="1" x14ac:dyDescent="0.5">
      <c r="A88" s="72" t="s">
        <v>190</v>
      </c>
      <c r="B88" s="72"/>
      <c r="C88" s="351">
        <v>1224174.7601200999</v>
      </c>
      <c r="D88" s="351">
        <v>1294397.3368199696</v>
      </c>
      <c r="E88" s="576">
        <f>Expenditures!L114</f>
        <v>3419814</v>
      </c>
      <c r="F88" s="579" t="e">
        <f>F86+F5</f>
        <v>#REF!</v>
      </c>
      <c r="G88" s="594">
        <f>Expenditures!N114</f>
        <v>0</v>
      </c>
      <c r="H88" s="351">
        <f>Expenditures!L114</f>
        <v>3419814</v>
      </c>
      <c r="I88" s="549"/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09"/>
      <c r="X88" s="309"/>
      <c r="Y88" s="309"/>
      <c r="Z88" s="309"/>
      <c r="AA88" s="309"/>
      <c r="AB88" s="309"/>
      <c r="AC88" s="309"/>
      <c r="AD88" s="309"/>
      <c r="AE88" s="309"/>
      <c r="AF88" s="309"/>
      <c r="AG88" s="309"/>
      <c r="AH88" s="309"/>
      <c r="AI88" s="309"/>
      <c r="AJ88" s="309"/>
      <c r="AK88" s="309"/>
      <c r="AL88" s="309"/>
      <c r="AM88" s="309"/>
      <c r="AN88" s="309"/>
      <c r="AO88" s="309"/>
      <c r="AP88" s="309"/>
      <c r="AQ88" s="309"/>
      <c r="AR88" s="309"/>
      <c r="AS88" s="309"/>
      <c r="AT88" s="309"/>
      <c r="AU88" s="309"/>
      <c r="AV88" s="309"/>
      <c r="AW88" s="309"/>
      <c r="AX88" s="309"/>
      <c r="AY88" s="309"/>
      <c r="AZ88" s="309"/>
      <c r="BA88" s="309"/>
      <c r="BB88" s="309"/>
      <c r="BC88" s="309"/>
      <c r="BD88" s="309"/>
      <c r="BE88" s="309"/>
      <c r="BF88" s="309"/>
      <c r="BG88" s="309"/>
      <c r="BH88" s="309"/>
      <c r="BI88" s="309"/>
      <c r="BJ88" s="309"/>
      <c r="BK88" s="309"/>
      <c r="BL88" s="309"/>
      <c r="BM88" s="309"/>
      <c r="BN88" s="309"/>
      <c r="BO88" s="309"/>
      <c r="BP88" s="309"/>
      <c r="BQ88" s="309"/>
      <c r="BR88" s="309"/>
      <c r="BS88" s="309"/>
      <c r="BT88" s="309"/>
      <c r="BU88" s="309"/>
      <c r="BV88" s="309"/>
      <c r="BW88" s="309"/>
      <c r="BX88" s="309"/>
      <c r="BY88" s="309"/>
      <c r="BZ88" s="309"/>
      <c r="CA88" s="309"/>
      <c r="CB88" s="309"/>
      <c r="CC88" s="309"/>
      <c r="CD88" s="309"/>
      <c r="CE88" s="309"/>
      <c r="CF88" s="309"/>
      <c r="CG88" s="309"/>
      <c r="CH88" s="309"/>
      <c r="CI88" s="309"/>
      <c r="CJ88" s="309"/>
      <c r="CK88" s="309"/>
      <c r="CL88" s="309"/>
      <c r="CM88" s="309"/>
      <c r="CN88" s="309"/>
      <c r="CO88" s="309"/>
      <c r="CP88" s="309"/>
      <c r="CQ88" s="309"/>
      <c r="CR88" s="309"/>
      <c r="CS88" s="309"/>
    </row>
    <row r="89" spans="1:97" x14ac:dyDescent="0.45">
      <c r="A89" s="72" t="s">
        <v>191</v>
      </c>
      <c r="B89" s="72"/>
      <c r="C89" s="351">
        <f t="shared" ref="C89" si="21">C87-C88</f>
        <v>2375006.6298798998</v>
      </c>
      <c r="D89" s="351">
        <f>D87-D88</f>
        <v>2394485.5242800298</v>
      </c>
      <c r="E89" s="576">
        <f>E88-E85</f>
        <v>2260244</v>
      </c>
      <c r="F89" s="580">
        <f>Expenditures!J130</f>
        <v>3761690.9299999997</v>
      </c>
      <c r="G89" s="594">
        <f>G88-G85</f>
        <v>-804844.54</v>
      </c>
      <c r="H89" s="351">
        <f>H87-H88</f>
        <v>2253356.4299999997</v>
      </c>
      <c r="I89" s="549"/>
    </row>
    <row r="90" spans="1:97" x14ac:dyDescent="0.45">
      <c r="A90" s="279" t="s">
        <v>192</v>
      </c>
      <c r="C90" s="311"/>
      <c r="D90" s="596"/>
      <c r="E90" s="596"/>
      <c r="F90" s="580"/>
      <c r="G90" s="595"/>
      <c r="H90" s="690">
        <f>H85-H88</f>
        <v>-188434.5</v>
      </c>
      <c r="I90" s="549"/>
      <c r="J90" s="432"/>
    </row>
    <row r="91" spans="1:97" x14ac:dyDescent="0.45">
      <c r="D91" s="284"/>
      <c r="E91" s="284"/>
      <c r="F91" s="284"/>
      <c r="G91" s="584"/>
      <c r="I91" s="394"/>
      <c r="J91" s="284"/>
    </row>
    <row r="92" spans="1:97" ht="24" thickBot="1" x14ac:dyDescent="0.5">
      <c r="D92" s="284"/>
      <c r="E92" s="284"/>
      <c r="F92" s="284"/>
      <c r="G92" s="284"/>
      <c r="I92" s="394"/>
    </row>
    <row r="93" spans="1:97" x14ac:dyDescent="0.45">
      <c r="B93" s="725" t="s">
        <v>193</v>
      </c>
      <c r="C93" s="726"/>
      <c r="D93" s="726"/>
      <c r="E93" s="726"/>
      <c r="F93" s="726"/>
      <c r="G93" s="726"/>
      <c r="H93" s="726"/>
      <c r="I93" s="726"/>
      <c r="J93" s="597"/>
      <c r="K93" s="729" t="s">
        <v>194</v>
      </c>
    </row>
    <row r="94" spans="1:97" x14ac:dyDescent="0.45">
      <c r="B94" s="727"/>
      <c r="C94" s="728"/>
      <c r="D94" s="728"/>
      <c r="E94" s="728"/>
      <c r="F94" s="728"/>
      <c r="G94" s="728"/>
      <c r="H94" s="728"/>
      <c r="I94" s="728"/>
      <c r="J94" s="434"/>
      <c r="K94" s="730"/>
    </row>
    <row r="95" spans="1:97" x14ac:dyDescent="0.45">
      <c r="B95" s="598">
        <v>3.85</v>
      </c>
      <c r="C95" s="435"/>
      <c r="D95" s="436">
        <v>3.9152999999999998</v>
      </c>
      <c r="E95" s="435"/>
      <c r="F95" s="435"/>
      <c r="G95" s="436">
        <v>4</v>
      </c>
      <c r="H95" s="435"/>
      <c r="I95" s="436">
        <v>4.0199999999999996</v>
      </c>
      <c r="J95" s="434"/>
      <c r="K95" s="599">
        <v>4.2</v>
      </c>
    </row>
    <row r="96" spans="1:97" x14ac:dyDescent="0.45">
      <c r="B96" s="600">
        <f>B95*L21/1000</f>
        <v>356940.3222</v>
      </c>
      <c r="C96" s="434"/>
      <c r="D96" s="437">
        <f>D95*L21/1000</f>
        <v>362994.40091159998</v>
      </c>
      <c r="E96" s="434"/>
      <c r="F96" s="434"/>
      <c r="G96" s="437">
        <f>G95*L21/1000</f>
        <v>370847.08799999999</v>
      </c>
      <c r="H96" s="438"/>
      <c r="I96" s="437">
        <f>I95*L21/1000</f>
        <v>372701.32343999995</v>
      </c>
      <c r="J96" s="434"/>
      <c r="K96" s="601">
        <f>K95*L21/1000</f>
        <v>389389.44240000006</v>
      </c>
    </row>
    <row r="97" spans="2:11" ht="24" thickBot="1" x14ac:dyDescent="0.5">
      <c r="B97" s="602">
        <f>B96-H10+H90</f>
        <v>-200873.6778</v>
      </c>
      <c r="C97" s="603"/>
      <c r="D97" s="604">
        <f>D96-H10+H90</f>
        <v>-194819.59908840002</v>
      </c>
      <c r="E97" s="603"/>
      <c r="F97" s="603"/>
      <c r="G97" s="605">
        <f>G96-H10+H90</f>
        <v>-186966.91200000001</v>
      </c>
      <c r="H97" s="606"/>
      <c r="I97" s="605">
        <f>I96-H10+H90</f>
        <v>-185112.67656000005</v>
      </c>
      <c r="J97" s="603"/>
      <c r="K97" s="607">
        <f>K96-H10+H90</f>
        <v>-168424.55759999994</v>
      </c>
    </row>
    <row r="98" spans="2:11" x14ac:dyDescent="0.45">
      <c r="E98" s="538"/>
      <c r="F98" s="539"/>
      <c r="G98" s="540"/>
      <c r="I98" s="284"/>
    </row>
    <row r="99" spans="2:11" x14ac:dyDescent="0.45">
      <c r="E99" s="538"/>
      <c r="F99" s="539"/>
      <c r="G99" s="538"/>
      <c r="I99" s="284"/>
    </row>
    <row r="100" spans="2:11" x14ac:dyDescent="0.45">
      <c r="E100" s="538"/>
      <c r="F100" s="539"/>
      <c r="G100" s="538"/>
      <c r="I100" s="284"/>
    </row>
    <row r="101" spans="2:11" x14ac:dyDescent="0.45">
      <c r="E101" s="538"/>
      <c r="F101" s="539"/>
      <c r="G101" s="538"/>
      <c r="I101" s="284"/>
    </row>
    <row r="102" spans="2:11" x14ac:dyDescent="0.45">
      <c r="E102" s="538"/>
      <c r="F102" s="539"/>
      <c r="G102" s="538"/>
      <c r="I102" s="284"/>
    </row>
    <row r="103" spans="2:11" x14ac:dyDescent="0.45">
      <c r="E103" s="538"/>
      <c r="F103" s="539"/>
      <c r="G103" s="538"/>
      <c r="I103" s="284"/>
    </row>
    <row r="104" spans="2:11" x14ac:dyDescent="0.45">
      <c r="E104" s="538"/>
      <c r="F104" s="539"/>
      <c r="G104" s="538"/>
      <c r="I104" s="284"/>
    </row>
    <row r="105" spans="2:11" x14ac:dyDescent="0.45">
      <c r="E105" s="538"/>
      <c r="F105" s="539"/>
      <c r="G105" s="538"/>
      <c r="I105" s="284"/>
    </row>
    <row r="106" spans="2:11" x14ac:dyDescent="0.45">
      <c r="E106" s="538"/>
      <c r="F106" s="539"/>
      <c r="G106" s="538"/>
      <c r="I106" s="284"/>
    </row>
    <row r="107" spans="2:11" x14ac:dyDescent="0.45">
      <c r="E107" s="538"/>
      <c r="F107" s="539"/>
      <c r="G107" s="538"/>
      <c r="I107" s="284"/>
    </row>
    <row r="108" spans="2:11" x14ac:dyDescent="0.45">
      <c r="E108" s="538"/>
      <c r="F108" s="539"/>
      <c r="G108" s="538"/>
      <c r="I108" s="284"/>
    </row>
    <row r="109" spans="2:11" x14ac:dyDescent="0.45">
      <c r="E109" s="538"/>
      <c r="F109" s="539"/>
      <c r="G109" s="538"/>
      <c r="I109" s="284"/>
    </row>
    <row r="110" spans="2:11" x14ac:dyDescent="0.45">
      <c r="E110" s="538"/>
      <c r="F110" s="539"/>
      <c r="G110" s="538"/>
      <c r="I110" s="284"/>
    </row>
    <row r="111" spans="2:11" x14ac:dyDescent="0.45">
      <c r="E111" s="538"/>
      <c r="F111" s="539"/>
      <c r="G111" s="538"/>
      <c r="I111" s="284"/>
    </row>
    <row r="112" spans="2:11" x14ac:dyDescent="0.45">
      <c r="E112" s="538"/>
      <c r="F112" s="539"/>
      <c r="G112" s="538"/>
      <c r="I112" s="284"/>
    </row>
    <row r="113" spans="5:9" x14ac:dyDescent="0.45">
      <c r="E113" s="538"/>
      <c r="F113" s="539"/>
      <c r="G113" s="538"/>
      <c r="I113" s="284"/>
    </row>
    <row r="114" spans="5:9" x14ac:dyDescent="0.45">
      <c r="E114" s="538"/>
      <c r="F114" s="539"/>
      <c r="G114" s="538"/>
      <c r="I114" s="284"/>
    </row>
    <row r="115" spans="5:9" x14ac:dyDescent="0.45">
      <c r="E115" s="538"/>
      <c r="F115" s="539"/>
      <c r="G115" s="538"/>
      <c r="I115" s="284"/>
    </row>
    <row r="116" spans="5:9" x14ac:dyDescent="0.45">
      <c r="E116" s="538"/>
      <c r="F116" s="539"/>
      <c r="G116" s="538"/>
      <c r="I116" s="284"/>
    </row>
    <row r="117" spans="5:9" x14ac:dyDescent="0.45">
      <c r="E117" s="538"/>
      <c r="F117" s="539"/>
      <c r="G117" s="538"/>
      <c r="I117" s="284"/>
    </row>
    <row r="118" spans="5:9" x14ac:dyDescent="0.45">
      <c r="E118" s="538"/>
      <c r="F118" s="539"/>
      <c r="G118" s="538"/>
      <c r="I118" s="284"/>
    </row>
    <row r="119" spans="5:9" x14ac:dyDescent="0.45">
      <c r="E119" s="538"/>
      <c r="F119" s="539"/>
      <c r="G119" s="538"/>
      <c r="I119" s="284"/>
    </row>
    <row r="120" spans="5:9" x14ac:dyDescent="0.45">
      <c r="E120" s="538"/>
      <c r="F120" s="539"/>
      <c r="G120" s="538"/>
      <c r="I120" s="284"/>
    </row>
    <row r="121" spans="5:9" x14ac:dyDescent="0.45">
      <c r="E121" s="538"/>
      <c r="F121" s="539"/>
      <c r="G121" s="538"/>
      <c r="I121" s="284"/>
    </row>
    <row r="122" spans="5:9" x14ac:dyDescent="0.45">
      <c r="E122" s="538"/>
      <c r="F122" s="539"/>
      <c r="G122" s="538"/>
      <c r="I122" s="284"/>
    </row>
    <row r="123" spans="5:9" x14ac:dyDescent="0.45">
      <c r="E123" s="538"/>
      <c r="F123" s="539"/>
      <c r="G123" s="538"/>
      <c r="I123" s="284"/>
    </row>
    <row r="124" spans="5:9" x14ac:dyDescent="0.45">
      <c r="E124" s="538"/>
      <c r="F124" s="539"/>
      <c r="G124" s="538"/>
      <c r="I124" s="284"/>
    </row>
    <row r="125" spans="5:9" x14ac:dyDescent="0.45">
      <c r="E125" s="538"/>
      <c r="F125" s="539"/>
      <c r="G125" s="538"/>
      <c r="I125" s="284"/>
    </row>
    <row r="126" spans="5:9" x14ac:dyDescent="0.45">
      <c r="E126" s="538"/>
      <c r="F126" s="539"/>
      <c r="G126" s="538"/>
      <c r="I126" s="284"/>
    </row>
    <row r="127" spans="5:9" x14ac:dyDescent="0.45">
      <c r="E127" s="538"/>
      <c r="F127" s="539"/>
      <c r="G127" s="538"/>
      <c r="I127" s="284"/>
    </row>
    <row r="128" spans="5:9" x14ac:dyDescent="0.45">
      <c r="E128" s="538"/>
      <c r="F128" s="539"/>
      <c r="G128" s="538"/>
      <c r="I128" s="284"/>
    </row>
    <row r="129" spans="5:9" x14ac:dyDescent="0.45">
      <c r="E129" s="538"/>
      <c r="F129" s="539"/>
      <c r="G129" s="538"/>
      <c r="I129" s="284"/>
    </row>
    <row r="130" spans="5:9" x14ac:dyDescent="0.45">
      <c r="E130" s="538"/>
      <c r="F130" s="539"/>
      <c r="G130" s="538"/>
      <c r="I130" s="284"/>
    </row>
    <row r="131" spans="5:9" x14ac:dyDescent="0.45">
      <c r="E131" s="538"/>
      <c r="F131" s="539"/>
      <c r="G131" s="538"/>
      <c r="I131" s="284"/>
    </row>
    <row r="132" spans="5:9" x14ac:dyDescent="0.45">
      <c r="E132" s="538"/>
      <c r="F132" s="539"/>
      <c r="G132" s="538"/>
      <c r="I132" s="284"/>
    </row>
    <row r="133" spans="5:9" x14ac:dyDescent="0.45">
      <c r="E133" s="538"/>
      <c r="F133" s="539"/>
      <c r="G133" s="538"/>
      <c r="I133" s="284"/>
    </row>
    <row r="134" spans="5:9" x14ac:dyDescent="0.45">
      <c r="E134" s="538"/>
      <c r="F134" s="539"/>
      <c r="G134" s="538"/>
      <c r="I134" s="284"/>
    </row>
    <row r="135" spans="5:9" x14ac:dyDescent="0.45">
      <c r="E135" s="538"/>
      <c r="F135" s="539"/>
      <c r="G135" s="538"/>
      <c r="I135" s="284"/>
    </row>
    <row r="136" spans="5:9" x14ac:dyDescent="0.45">
      <c r="E136" s="538"/>
      <c r="F136" s="538"/>
      <c r="G136" s="538"/>
    </row>
    <row r="137" spans="5:9" x14ac:dyDescent="0.45">
      <c r="E137" s="538"/>
      <c r="F137" s="538"/>
      <c r="G137" s="538"/>
    </row>
    <row r="138" spans="5:9" x14ac:dyDescent="0.45">
      <c r="E138" s="538"/>
      <c r="F138" s="538"/>
      <c r="G138" s="538"/>
    </row>
    <row r="139" spans="5:9" x14ac:dyDescent="0.45">
      <c r="E139" s="538"/>
      <c r="F139" s="538"/>
      <c r="G139" s="538"/>
    </row>
    <row r="140" spans="5:9" x14ac:dyDescent="0.45">
      <c r="E140" s="538"/>
      <c r="F140" s="538"/>
      <c r="G140" s="538"/>
    </row>
    <row r="141" spans="5:9" x14ac:dyDescent="0.45">
      <c r="E141" s="538"/>
      <c r="F141" s="538"/>
      <c r="G141" s="538"/>
    </row>
    <row r="142" spans="5:9" x14ac:dyDescent="0.45">
      <c r="E142" s="538"/>
      <c r="F142" s="538"/>
      <c r="G142" s="538"/>
    </row>
    <row r="143" spans="5:9" x14ac:dyDescent="0.45">
      <c r="E143" s="538"/>
      <c r="F143" s="538"/>
      <c r="G143" s="538"/>
    </row>
    <row r="144" spans="5:9" x14ac:dyDescent="0.45">
      <c r="E144" s="538"/>
      <c r="F144" s="538"/>
      <c r="G144" s="538"/>
    </row>
    <row r="145" spans="5:7" x14ac:dyDescent="0.45">
      <c r="E145" s="538"/>
      <c r="F145" s="538"/>
      <c r="G145" s="538"/>
    </row>
    <row r="146" spans="5:7" x14ac:dyDescent="0.45">
      <c r="E146" s="538"/>
      <c r="F146" s="538"/>
      <c r="G146" s="538"/>
    </row>
    <row r="147" spans="5:7" x14ac:dyDescent="0.45">
      <c r="E147" s="538"/>
      <c r="F147" s="538"/>
      <c r="G147" s="538"/>
    </row>
    <row r="148" spans="5:7" x14ac:dyDescent="0.45">
      <c r="E148" s="538"/>
      <c r="F148" s="538"/>
      <c r="G148" s="538"/>
    </row>
    <row r="149" spans="5:7" x14ac:dyDescent="0.45">
      <c r="E149" s="538"/>
      <c r="F149" s="538"/>
      <c r="G149" s="538"/>
    </row>
    <row r="150" spans="5:7" x14ac:dyDescent="0.45">
      <c r="E150" s="538"/>
      <c r="F150" s="538"/>
      <c r="G150" s="538"/>
    </row>
    <row r="151" spans="5:7" x14ac:dyDescent="0.45">
      <c r="E151" s="538"/>
      <c r="F151" s="538"/>
      <c r="G151" s="538"/>
    </row>
    <row r="152" spans="5:7" x14ac:dyDescent="0.45">
      <c r="E152" s="538"/>
      <c r="F152" s="538"/>
      <c r="G152" s="538"/>
    </row>
    <row r="153" spans="5:7" x14ac:dyDescent="0.45">
      <c r="E153" s="538"/>
      <c r="F153" s="538"/>
      <c r="G153" s="538"/>
    </row>
    <row r="154" spans="5:7" x14ac:dyDescent="0.45">
      <c r="E154" s="538"/>
      <c r="F154" s="538"/>
      <c r="G154" s="538"/>
    </row>
    <row r="155" spans="5:7" x14ac:dyDescent="0.45">
      <c r="E155" s="538"/>
      <c r="F155" s="538"/>
      <c r="G155" s="538"/>
    </row>
    <row r="156" spans="5:7" x14ac:dyDescent="0.45">
      <c r="E156" s="538"/>
      <c r="F156" s="538"/>
      <c r="G156" s="538"/>
    </row>
    <row r="157" spans="5:7" x14ac:dyDescent="0.45">
      <c r="E157" s="538"/>
      <c r="F157" s="538"/>
      <c r="G157" s="538"/>
    </row>
    <row r="158" spans="5:7" x14ac:dyDescent="0.45">
      <c r="E158" s="538"/>
      <c r="F158" s="538"/>
      <c r="G158" s="538"/>
    </row>
    <row r="159" spans="5:7" x14ac:dyDescent="0.45">
      <c r="E159" s="538"/>
      <c r="F159" s="538"/>
      <c r="G159" s="538"/>
    </row>
    <row r="160" spans="5:7" x14ac:dyDescent="0.45">
      <c r="E160" s="538"/>
      <c r="F160" s="538"/>
      <c r="G160" s="538"/>
    </row>
    <row r="161" spans="5:7" x14ac:dyDescent="0.45">
      <c r="E161" s="538"/>
      <c r="F161" s="538"/>
      <c r="G161" s="538"/>
    </row>
    <row r="162" spans="5:7" x14ac:dyDescent="0.45">
      <c r="E162" s="538"/>
      <c r="F162" s="538"/>
      <c r="G162" s="538"/>
    </row>
    <row r="163" spans="5:7" x14ac:dyDescent="0.45">
      <c r="E163" s="538"/>
      <c r="F163" s="538"/>
      <c r="G163" s="538"/>
    </row>
    <row r="164" spans="5:7" x14ac:dyDescent="0.45">
      <c r="E164" s="538"/>
      <c r="F164" s="538"/>
      <c r="G164" s="538"/>
    </row>
    <row r="165" spans="5:7" x14ac:dyDescent="0.45">
      <c r="E165" s="538"/>
      <c r="F165" s="538"/>
      <c r="G165" s="538"/>
    </row>
    <row r="166" spans="5:7" x14ac:dyDescent="0.45">
      <c r="E166" s="538"/>
      <c r="F166" s="538"/>
      <c r="G166" s="538"/>
    </row>
    <row r="167" spans="5:7" x14ac:dyDescent="0.45">
      <c r="E167" s="538"/>
      <c r="F167" s="538"/>
      <c r="G167" s="538"/>
    </row>
    <row r="168" spans="5:7" x14ac:dyDescent="0.45">
      <c r="E168" s="538"/>
      <c r="F168" s="538"/>
      <c r="G168" s="538"/>
    </row>
    <row r="169" spans="5:7" x14ac:dyDescent="0.45">
      <c r="E169" s="538"/>
      <c r="F169" s="538"/>
      <c r="G169" s="538"/>
    </row>
    <row r="170" spans="5:7" x14ac:dyDescent="0.45">
      <c r="E170" s="538"/>
      <c r="F170" s="538"/>
      <c r="G170" s="538"/>
    </row>
    <row r="171" spans="5:7" x14ac:dyDescent="0.45">
      <c r="E171" s="538"/>
      <c r="F171" s="538"/>
      <c r="G171" s="538"/>
    </row>
    <row r="172" spans="5:7" x14ac:dyDescent="0.45">
      <c r="E172" s="538"/>
      <c r="F172" s="538"/>
      <c r="G172" s="538"/>
    </row>
    <row r="173" spans="5:7" x14ac:dyDescent="0.45">
      <c r="E173" s="538"/>
      <c r="F173" s="538"/>
      <c r="G173" s="538"/>
    </row>
    <row r="174" spans="5:7" x14ac:dyDescent="0.45">
      <c r="E174" s="538"/>
      <c r="F174" s="538"/>
      <c r="G174" s="538"/>
    </row>
    <row r="175" spans="5:7" x14ac:dyDescent="0.45">
      <c r="E175" s="538"/>
      <c r="F175" s="538"/>
      <c r="G175" s="538"/>
    </row>
    <row r="176" spans="5:7" x14ac:dyDescent="0.45">
      <c r="E176" s="538"/>
      <c r="F176" s="538"/>
      <c r="G176" s="538"/>
    </row>
    <row r="177" spans="5:7" x14ac:dyDescent="0.45">
      <c r="E177" s="538"/>
      <c r="F177" s="538"/>
      <c r="G177" s="538"/>
    </row>
    <row r="178" spans="5:7" x14ac:dyDescent="0.45">
      <c r="E178" s="538"/>
      <c r="F178" s="538"/>
      <c r="G178" s="538"/>
    </row>
    <row r="179" spans="5:7" x14ac:dyDescent="0.45">
      <c r="E179" s="538"/>
      <c r="F179" s="538"/>
      <c r="G179" s="538"/>
    </row>
    <row r="180" spans="5:7" x14ac:dyDescent="0.45">
      <c r="E180" s="538"/>
      <c r="F180" s="538"/>
      <c r="G180" s="538"/>
    </row>
    <row r="181" spans="5:7" x14ac:dyDescent="0.45">
      <c r="E181" s="538"/>
      <c r="F181" s="538"/>
      <c r="G181" s="538"/>
    </row>
    <row r="182" spans="5:7" x14ac:dyDescent="0.45">
      <c r="E182" s="538"/>
      <c r="F182" s="538"/>
      <c r="G182" s="538"/>
    </row>
    <row r="183" spans="5:7" x14ac:dyDescent="0.45">
      <c r="E183" s="538"/>
      <c r="F183" s="538"/>
      <c r="G183" s="538"/>
    </row>
    <row r="184" spans="5:7" x14ac:dyDescent="0.45">
      <c r="E184" s="538"/>
      <c r="F184" s="538"/>
      <c r="G184" s="538"/>
    </row>
    <row r="185" spans="5:7" x14ac:dyDescent="0.45">
      <c r="E185" s="538"/>
      <c r="F185" s="538"/>
      <c r="G185" s="538"/>
    </row>
    <row r="186" spans="5:7" x14ac:dyDescent="0.45">
      <c r="E186" s="538"/>
      <c r="F186" s="538"/>
      <c r="G186" s="538"/>
    </row>
    <row r="187" spans="5:7" x14ac:dyDescent="0.45">
      <c r="E187" s="538"/>
      <c r="F187" s="538"/>
      <c r="G187" s="538"/>
    </row>
    <row r="188" spans="5:7" x14ac:dyDescent="0.45">
      <c r="E188" s="538"/>
      <c r="F188" s="538"/>
      <c r="G188" s="538"/>
    </row>
    <row r="189" spans="5:7" x14ac:dyDescent="0.45">
      <c r="E189" s="538"/>
      <c r="F189" s="538"/>
      <c r="G189" s="538"/>
    </row>
    <row r="190" spans="5:7" x14ac:dyDescent="0.45">
      <c r="E190" s="538"/>
      <c r="F190" s="538"/>
      <c r="G190" s="538"/>
    </row>
    <row r="191" spans="5:7" x14ac:dyDescent="0.45">
      <c r="E191" s="538"/>
      <c r="F191" s="538"/>
      <c r="G191" s="538"/>
    </row>
    <row r="192" spans="5:7" x14ac:dyDescent="0.45">
      <c r="E192" s="538"/>
      <c r="F192" s="538"/>
      <c r="G192" s="538"/>
    </row>
    <row r="193" spans="5:7" x14ac:dyDescent="0.45">
      <c r="E193" s="538"/>
      <c r="F193" s="538"/>
      <c r="G193" s="538"/>
    </row>
    <row r="194" spans="5:7" x14ac:dyDescent="0.45">
      <c r="E194" s="538"/>
      <c r="F194" s="538"/>
      <c r="G194" s="538"/>
    </row>
    <row r="195" spans="5:7" x14ac:dyDescent="0.45">
      <c r="E195" s="538"/>
      <c r="F195" s="538"/>
      <c r="G195" s="538"/>
    </row>
    <row r="196" spans="5:7" x14ac:dyDescent="0.45">
      <c r="E196" s="538"/>
      <c r="F196" s="538"/>
      <c r="G196" s="538"/>
    </row>
    <row r="197" spans="5:7" x14ac:dyDescent="0.45">
      <c r="E197" s="538"/>
      <c r="F197" s="538"/>
      <c r="G197" s="538"/>
    </row>
    <row r="198" spans="5:7" x14ac:dyDescent="0.45">
      <c r="E198" s="538"/>
      <c r="F198" s="538"/>
      <c r="G198" s="538"/>
    </row>
    <row r="199" spans="5:7" x14ac:dyDescent="0.45">
      <c r="E199" s="538"/>
      <c r="F199" s="538"/>
      <c r="G199" s="538"/>
    </row>
    <row r="200" spans="5:7" x14ac:dyDescent="0.45">
      <c r="E200" s="538"/>
      <c r="F200" s="538"/>
      <c r="G200" s="538"/>
    </row>
    <row r="201" spans="5:7" x14ac:dyDescent="0.45">
      <c r="E201" s="538"/>
      <c r="F201" s="538"/>
      <c r="G201" s="538"/>
    </row>
    <row r="202" spans="5:7" x14ac:dyDescent="0.45">
      <c r="E202" s="538"/>
      <c r="F202" s="538"/>
      <c r="G202" s="538"/>
    </row>
    <row r="203" spans="5:7" x14ac:dyDescent="0.45">
      <c r="E203" s="538"/>
      <c r="F203" s="538"/>
      <c r="G203" s="538"/>
    </row>
    <row r="204" spans="5:7" x14ac:dyDescent="0.45">
      <c r="E204" s="538"/>
      <c r="F204" s="538"/>
      <c r="G204" s="538"/>
    </row>
    <row r="205" spans="5:7" x14ac:dyDescent="0.45">
      <c r="E205" s="538"/>
      <c r="F205" s="538"/>
      <c r="G205" s="538"/>
    </row>
    <row r="206" spans="5:7" x14ac:dyDescent="0.45">
      <c r="E206" s="538"/>
      <c r="F206" s="538"/>
      <c r="G206" s="538"/>
    </row>
    <row r="207" spans="5:7" x14ac:dyDescent="0.45">
      <c r="E207" s="538"/>
      <c r="F207" s="538"/>
      <c r="G207" s="538"/>
    </row>
    <row r="208" spans="5:7" x14ac:dyDescent="0.45">
      <c r="E208" s="538"/>
      <c r="F208" s="538"/>
      <c r="G208" s="538"/>
    </row>
    <row r="209" spans="5:7" x14ac:dyDescent="0.45">
      <c r="E209" s="538"/>
      <c r="F209" s="538"/>
      <c r="G209" s="538"/>
    </row>
    <row r="210" spans="5:7" x14ac:dyDescent="0.45">
      <c r="E210" s="538"/>
      <c r="F210" s="538"/>
      <c r="G210" s="538"/>
    </row>
    <row r="211" spans="5:7" x14ac:dyDescent="0.45">
      <c r="E211" s="538"/>
      <c r="F211" s="538"/>
      <c r="G211" s="538"/>
    </row>
    <row r="212" spans="5:7" x14ac:dyDescent="0.45">
      <c r="E212" s="538"/>
      <c r="F212" s="538"/>
      <c r="G212" s="538"/>
    </row>
    <row r="213" spans="5:7" x14ac:dyDescent="0.45">
      <c r="E213" s="538"/>
      <c r="F213" s="538"/>
      <c r="G213" s="538"/>
    </row>
    <row r="214" spans="5:7" x14ac:dyDescent="0.45">
      <c r="E214" s="538"/>
      <c r="F214" s="538"/>
      <c r="G214" s="538"/>
    </row>
    <row r="215" spans="5:7" x14ac:dyDescent="0.45">
      <c r="E215" s="538"/>
      <c r="F215" s="538"/>
      <c r="G215" s="538"/>
    </row>
    <row r="216" spans="5:7" x14ac:dyDescent="0.45">
      <c r="E216" s="538"/>
      <c r="F216" s="538"/>
      <c r="G216" s="538"/>
    </row>
    <row r="217" spans="5:7" x14ac:dyDescent="0.45">
      <c r="E217" s="538"/>
      <c r="F217" s="538"/>
      <c r="G217" s="538"/>
    </row>
    <row r="218" spans="5:7" x14ac:dyDescent="0.45">
      <c r="E218" s="538"/>
      <c r="F218" s="538"/>
      <c r="G218" s="538"/>
    </row>
    <row r="219" spans="5:7" x14ac:dyDescent="0.45">
      <c r="E219" s="538"/>
      <c r="F219" s="538"/>
      <c r="G219" s="538"/>
    </row>
    <row r="220" spans="5:7" x14ac:dyDescent="0.45">
      <c r="E220" s="538"/>
      <c r="F220" s="538"/>
      <c r="G220" s="538"/>
    </row>
    <row r="221" spans="5:7" x14ac:dyDescent="0.45">
      <c r="E221" s="538"/>
      <c r="F221" s="538"/>
      <c r="G221" s="538"/>
    </row>
    <row r="222" spans="5:7" x14ac:dyDescent="0.45">
      <c r="E222" s="538"/>
      <c r="F222" s="538"/>
      <c r="G222" s="538"/>
    </row>
    <row r="223" spans="5:7" x14ac:dyDescent="0.45">
      <c r="E223" s="538"/>
      <c r="F223" s="538"/>
      <c r="G223" s="538"/>
    </row>
    <row r="224" spans="5:7" x14ac:dyDescent="0.45">
      <c r="E224" s="538"/>
      <c r="F224" s="538"/>
      <c r="G224" s="538"/>
    </row>
    <row r="225" spans="5:7" x14ac:dyDescent="0.45">
      <c r="E225" s="538"/>
      <c r="F225" s="538"/>
      <c r="G225" s="538"/>
    </row>
    <row r="226" spans="5:7" x14ac:dyDescent="0.45">
      <c r="E226" s="538"/>
      <c r="F226" s="538"/>
      <c r="G226" s="538"/>
    </row>
    <row r="227" spans="5:7" x14ac:dyDescent="0.45">
      <c r="E227" s="538"/>
      <c r="F227" s="538"/>
      <c r="G227" s="538"/>
    </row>
    <row r="228" spans="5:7" x14ac:dyDescent="0.45">
      <c r="E228" s="538"/>
      <c r="F228" s="538"/>
      <c r="G228" s="538"/>
    </row>
    <row r="229" spans="5:7" x14ac:dyDescent="0.45">
      <c r="E229" s="538"/>
      <c r="F229" s="538"/>
      <c r="G229" s="538"/>
    </row>
    <row r="230" spans="5:7" x14ac:dyDescent="0.45">
      <c r="E230" s="538"/>
      <c r="F230" s="538"/>
      <c r="G230" s="538"/>
    </row>
    <row r="231" spans="5:7" x14ac:dyDescent="0.45">
      <c r="E231" s="538"/>
      <c r="F231" s="538"/>
      <c r="G231" s="538"/>
    </row>
    <row r="232" spans="5:7" x14ac:dyDescent="0.45">
      <c r="E232" s="538"/>
      <c r="F232" s="538"/>
      <c r="G232" s="538"/>
    </row>
    <row r="233" spans="5:7" x14ac:dyDescent="0.45">
      <c r="E233" s="538"/>
      <c r="F233" s="538"/>
      <c r="G233" s="538"/>
    </row>
    <row r="234" spans="5:7" x14ac:dyDescent="0.45">
      <c r="E234" s="538"/>
      <c r="F234" s="538"/>
      <c r="G234" s="538"/>
    </row>
    <row r="235" spans="5:7" x14ac:dyDescent="0.45">
      <c r="E235" s="538"/>
      <c r="F235" s="538"/>
      <c r="G235" s="538"/>
    </row>
    <row r="236" spans="5:7" x14ac:dyDescent="0.45">
      <c r="E236" s="538"/>
      <c r="F236" s="538"/>
      <c r="G236" s="538"/>
    </row>
    <row r="237" spans="5:7" x14ac:dyDescent="0.45">
      <c r="E237" s="538"/>
      <c r="F237" s="538"/>
      <c r="G237" s="538"/>
    </row>
    <row r="238" spans="5:7" x14ac:dyDescent="0.45">
      <c r="E238" s="538"/>
      <c r="F238" s="538"/>
      <c r="G238" s="538"/>
    </row>
    <row r="239" spans="5:7" x14ac:dyDescent="0.45">
      <c r="E239" s="538"/>
      <c r="F239" s="538"/>
      <c r="G239" s="538"/>
    </row>
    <row r="240" spans="5:7" x14ac:dyDescent="0.45">
      <c r="E240" s="538"/>
      <c r="F240" s="538"/>
      <c r="G240" s="538"/>
    </row>
    <row r="241" spans="5:7" x14ac:dyDescent="0.45">
      <c r="E241" s="538"/>
      <c r="F241" s="538"/>
      <c r="G241" s="538"/>
    </row>
    <row r="242" spans="5:7" x14ac:dyDescent="0.45">
      <c r="E242" s="538"/>
      <c r="F242" s="538"/>
      <c r="G242" s="538"/>
    </row>
    <row r="243" spans="5:7" x14ac:dyDescent="0.45">
      <c r="E243" s="538"/>
      <c r="F243" s="538"/>
      <c r="G243" s="538"/>
    </row>
    <row r="244" spans="5:7" x14ac:dyDescent="0.45">
      <c r="E244" s="538"/>
      <c r="F244" s="538"/>
      <c r="G244" s="538"/>
    </row>
    <row r="245" spans="5:7" x14ac:dyDescent="0.45">
      <c r="E245" s="538"/>
      <c r="F245" s="538"/>
      <c r="G245" s="538"/>
    </row>
    <row r="246" spans="5:7" x14ac:dyDescent="0.45">
      <c r="E246" s="538"/>
      <c r="F246" s="538"/>
      <c r="G246" s="538"/>
    </row>
    <row r="247" spans="5:7" x14ac:dyDescent="0.45">
      <c r="E247" s="538"/>
      <c r="F247" s="538"/>
      <c r="G247" s="538"/>
    </row>
    <row r="248" spans="5:7" x14ac:dyDescent="0.45">
      <c r="E248" s="538"/>
      <c r="F248" s="538"/>
      <c r="G248" s="538"/>
    </row>
    <row r="249" spans="5:7" x14ac:dyDescent="0.45">
      <c r="E249" s="538"/>
      <c r="F249" s="538"/>
      <c r="G249" s="538"/>
    </row>
    <row r="250" spans="5:7" x14ac:dyDescent="0.45">
      <c r="E250" s="538"/>
      <c r="F250" s="538"/>
      <c r="G250" s="538"/>
    </row>
    <row r="251" spans="5:7" x14ac:dyDescent="0.45">
      <c r="E251" s="538"/>
      <c r="F251" s="538"/>
      <c r="G251" s="538"/>
    </row>
    <row r="252" spans="5:7" x14ac:dyDescent="0.45">
      <c r="E252" s="538"/>
      <c r="F252" s="538"/>
      <c r="G252" s="538"/>
    </row>
    <row r="253" spans="5:7" x14ac:dyDescent="0.45">
      <c r="E253" s="538"/>
      <c r="F253" s="538"/>
      <c r="G253" s="538"/>
    </row>
    <row r="254" spans="5:7" x14ac:dyDescent="0.45">
      <c r="E254" s="538"/>
      <c r="F254" s="538"/>
      <c r="G254" s="538"/>
    </row>
    <row r="255" spans="5:7" x14ac:dyDescent="0.45">
      <c r="E255" s="538"/>
      <c r="F255" s="538"/>
      <c r="G255" s="538"/>
    </row>
    <row r="256" spans="5:7" x14ac:dyDescent="0.45">
      <c r="E256" s="538"/>
      <c r="F256" s="538"/>
      <c r="G256" s="538"/>
    </row>
    <row r="257" spans="5:7" x14ac:dyDescent="0.45">
      <c r="E257" s="538"/>
      <c r="F257" s="538"/>
      <c r="G257" s="538"/>
    </row>
    <row r="258" spans="5:7" x14ac:dyDescent="0.45">
      <c r="E258" s="538"/>
      <c r="F258" s="538"/>
      <c r="G258" s="538"/>
    </row>
    <row r="259" spans="5:7" x14ac:dyDescent="0.45">
      <c r="E259" s="538"/>
      <c r="F259" s="538"/>
      <c r="G259" s="538"/>
    </row>
    <row r="260" spans="5:7" x14ac:dyDescent="0.45">
      <c r="E260" s="538"/>
      <c r="F260" s="538"/>
      <c r="G260" s="538"/>
    </row>
    <row r="261" spans="5:7" x14ac:dyDescent="0.45">
      <c r="E261" s="538"/>
      <c r="F261" s="538"/>
      <c r="G261" s="538"/>
    </row>
    <row r="262" spans="5:7" x14ac:dyDescent="0.45">
      <c r="E262" s="538"/>
      <c r="F262" s="538"/>
      <c r="G262" s="538"/>
    </row>
    <row r="263" spans="5:7" x14ac:dyDescent="0.45">
      <c r="E263" s="538"/>
      <c r="F263" s="538"/>
      <c r="G263" s="538"/>
    </row>
    <row r="264" spans="5:7" x14ac:dyDescent="0.45">
      <c r="E264" s="538"/>
      <c r="F264" s="538"/>
      <c r="G264" s="538"/>
    </row>
    <row r="265" spans="5:7" x14ac:dyDescent="0.45">
      <c r="E265" s="538"/>
      <c r="F265" s="538"/>
      <c r="G265" s="538"/>
    </row>
    <row r="266" spans="5:7" x14ac:dyDescent="0.45">
      <c r="E266" s="538"/>
      <c r="F266" s="538"/>
      <c r="G266" s="538"/>
    </row>
    <row r="267" spans="5:7" x14ac:dyDescent="0.45">
      <c r="E267" s="538"/>
      <c r="F267" s="538"/>
      <c r="G267" s="538"/>
    </row>
    <row r="268" spans="5:7" x14ac:dyDescent="0.45">
      <c r="E268" s="538"/>
      <c r="F268" s="538"/>
      <c r="G268" s="538"/>
    </row>
    <row r="269" spans="5:7" x14ac:dyDescent="0.45">
      <c r="E269" s="538"/>
      <c r="F269" s="538"/>
      <c r="G269" s="538"/>
    </row>
    <row r="270" spans="5:7" x14ac:dyDescent="0.45">
      <c r="E270" s="538"/>
      <c r="F270" s="538"/>
      <c r="G270" s="538"/>
    </row>
    <row r="271" spans="5:7" x14ac:dyDescent="0.45">
      <c r="E271" s="538"/>
      <c r="F271" s="538"/>
      <c r="G271" s="538"/>
    </row>
    <row r="272" spans="5:7" x14ac:dyDescent="0.45">
      <c r="E272" s="538"/>
      <c r="F272" s="538"/>
      <c r="G272" s="538"/>
    </row>
    <row r="273" spans="5:7" x14ac:dyDescent="0.45">
      <c r="E273" s="538"/>
      <c r="F273" s="538"/>
      <c r="G273" s="538"/>
    </row>
    <row r="274" spans="5:7" x14ac:dyDescent="0.45">
      <c r="E274" s="538"/>
      <c r="F274" s="538"/>
      <c r="G274" s="538"/>
    </row>
    <row r="275" spans="5:7" x14ac:dyDescent="0.45">
      <c r="E275" s="538"/>
      <c r="F275" s="538"/>
      <c r="G275" s="538"/>
    </row>
    <row r="276" spans="5:7" x14ac:dyDescent="0.45">
      <c r="E276" s="538"/>
      <c r="F276" s="538"/>
      <c r="G276" s="538"/>
    </row>
    <row r="277" spans="5:7" x14ac:dyDescent="0.45">
      <c r="E277" s="538"/>
      <c r="F277" s="538"/>
      <c r="G277" s="538"/>
    </row>
    <row r="278" spans="5:7" x14ac:dyDescent="0.45">
      <c r="E278" s="538"/>
      <c r="F278" s="538"/>
      <c r="G278" s="538"/>
    </row>
    <row r="279" spans="5:7" x14ac:dyDescent="0.45">
      <c r="E279" s="538"/>
      <c r="F279" s="538"/>
      <c r="G279" s="538"/>
    </row>
    <row r="280" spans="5:7" x14ac:dyDescent="0.45">
      <c r="E280" s="538"/>
      <c r="F280" s="538"/>
      <c r="G280" s="538"/>
    </row>
    <row r="281" spans="5:7" x14ac:dyDescent="0.45">
      <c r="E281" s="538"/>
      <c r="F281" s="538"/>
      <c r="G281" s="538"/>
    </row>
    <row r="282" spans="5:7" x14ac:dyDescent="0.45">
      <c r="E282" s="538"/>
      <c r="F282" s="538"/>
      <c r="G282" s="538"/>
    </row>
    <row r="283" spans="5:7" x14ac:dyDescent="0.45">
      <c r="E283" s="538"/>
      <c r="F283" s="538"/>
      <c r="G283" s="538"/>
    </row>
    <row r="284" spans="5:7" x14ac:dyDescent="0.45">
      <c r="E284" s="538"/>
      <c r="F284" s="538"/>
      <c r="G284" s="538"/>
    </row>
    <row r="285" spans="5:7" x14ac:dyDescent="0.45">
      <c r="E285" s="538"/>
      <c r="F285" s="538"/>
      <c r="G285" s="538"/>
    </row>
    <row r="286" spans="5:7" x14ac:dyDescent="0.45">
      <c r="E286" s="538"/>
      <c r="F286" s="538"/>
      <c r="G286" s="538"/>
    </row>
    <row r="287" spans="5:7" x14ac:dyDescent="0.45">
      <c r="E287" s="538"/>
      <c r="F287" s="538"/>
      <c r="G287" s="538"/>
    </row>
    <row r="288" spans="5:7" x14ac:dyDescent="0.45">
      <c r="E288" s="538"/>
      <c r="F288" s="538"/>
      <c r="G288" s="538"/>
    </row>
    <row r="289" spans="5:7" x14ac:dyDescent="0.45">
      <c r="E289" s="538"/>
      <c r="F289" s="538"/>
      <c r="G289" s="538"/>
    </row>
    <row r="290" spans="5:7" x14ac:dyDescent="0.45">
      <c r="E290" s="538"/>
      <c r="F290" s="538"/>
      <c r="G290" s="538"/>
    </row>
    <row r="291" spans="5:7" x14ac:dyDescent="0.45">
      <c r="E291" s="538"/>
      <c r="F291" s="538"/>
      <c r="G291" s="538"/>
    </row>
    <row r="292" spans="5:7" x14ac:dyDescent="0.45">
      <c r="E292" s="538"/>
      <c r="F292" s="538"/>
      <c r="G292" s="538"/>
    </row>
    <row r="293" spans="5:7" x14ac:dyDescent="0.45">
      <c r="E293" s="538"/>
      <c r="F293" s="538"/>
      <c r="G293" s="538"/>
    </row>
    <row r="294" spans="5:7" x14ac:dyDescent="0.45">
      <c r="E294" s="538"/>
      <c r="F294" s="538"/>
      <c r="G294" s="538"/>
    </row>
    <row r="295" spans="5:7" x14ac:dyDescent="0.45">
      <c r="E295" s="538"/>
      <c r="F295" s="538"/>
      <c r="G295" s="538"/>
    </row>
    <row r="296" spans="5:7" x14ac:dyDescent="0.45">
      <c r="E296" s="538"/>
      <c r="F296" s="538"/>
      <c r="G296" s="538"/>
    </row>
    <row r="297" spans="5:7" x14ac:dyDescent="0.45">
      <c r="E297" s="538"/>
      <c r="F297" s="538"/>
      <c r="G297" s="538"/>
    </row>
    <row r="298" spans="5:7" x14ac:dyDescent="0.45">
      <c r="E298" s="538"/>
      <c r="F298" s="538"/>
      <c r="G298" s="538"/>
    </row>
    <row r="299" spans="5:7" x14ac:dyDescent="0.45">
      <c r="E299" s="538"/>
      <c r="F299" s="538"/>
      <c r="G299" s="538"/>
    </row>
    <row r="300" spans="5:7" x14ac:dyDescent="0.45">
      <c r="E300" s="538"/>
      <c r="F300" s="538"/>
      <c r="G300" s="538"/>
    </row>
    <row r="301" spans="5:7" x14ac:dyDescent="0.45">
      <c r="E301" s="538"/>
      <c r="F301" s="538"/>
      <c r="G301" s="538"/>
    </row>
    <row r="302" spans="5:7" x14ac:dyDescent="0.45">
      <c r="E302" s="538"/>
      <c r="F302" s="538"/>
      <c r="G302" s="538"/>
    </row>
    <row r="303" spans="5:7" x14ac:dyDescent="0.45">
      <c r="E303" s="538"/>
      <c r="F303" s="538"/>
      <c r="G303" s="538"/>
    </row>
    <row r="304" spans="5:7" x14ac:dyDescent="0.45">
      <c r="E304" s="538"/>
      <c r="F304" s="538"/>
      <c r="G304" s="538"/>
    </row>
    <row r="305" spans="5:7" x14ac:dyDescent="0.45">
      <c r="E305" s="538"/>
      <c r="F305" s="538"/>
      <c r="G305" s="538"/>
    </row>
    <row r="306" spans="5:7" x14ac:dyDescent="0.45">
      <c r="E306" s="538"/>
      <c r="F306" s="538"/>
      <c r="G306" s="538"/>
    </row>
    <row r="307" spans="5:7" x14ac:dyDescent="0.45">
      <c r="E307" s="538"/>
      <c r="F307" s="538"/>
      <c r="G307" s="538"/>
    </row>
    <row r="308" spans="5:7" x14ac:dyDescent="0.45">
      <c r="E308" s="538"/>
      <c r="F308" s="538"/>
      <c r="G308" s="538"/>
    </row>
    <row r="309" spans="5:7" x14ac:dyDescent="0.45">
      <c r="E309" s="538"/>
      <c r="F309" s="538"/>
      <c r="G309" s="538"/>
    </row>
    <row r="310" spans="5:7" x14ac:dyDescent="0.45">
      <c r="E310" s="538"/>
      <c r="F310" s="538"/>
      <c r="G310" s="538"/>
    </row>
    <row r="311" spans="5:7" x14ac:dyDescent="0.45">
      <c r="E311" s="538"/>
      <c r="F311" s="538"/>
      <c r="G311" s="538"/>
    </row>
    <row r="312" spans="5:7" x14ac:dyDescent="0.45">
      <c r="E312" s="538"/>
      <c r="F312" s="538"/>
      <c r="G312" s="538"/>
    </row>
    <row r="313" spans="5:7" x14ac:dyDescent="0.45">
      <c r="E313" s="538"/>
      <c r="F313" s="538"/>
      <c r="G313" s="538"/>
    </row>
    <row r="314" spans="5:7" x14ac:dyDescent="0.45">
      <c r="E314" s="538"/>
      <c r="F314" s="538"/>
      <c r="G314" s="538"/>
    </row>
    <row r="315" spans="5:7" x14ac:dyDescent="0.45">
      <c r="E315" s="538"/>
      <c r="F315" s="538"/>
      <c r="G315" s="538"/>
    </row>
    <row r="316" spans="5:7" x14ac:dyDescent="0.45">
      <c r="E316" s="538"/>
      <c r="F316" s="538"/>
      <c r="G316" s="538"/>
    </row>
    <row r="317" spans="5:7" x14ac:dyDescent="0.45">
      <c r="E317" s="538"/>
      <c r="F317" s="538"/>
      <c r="G317" s="538"/>
    </row>
    <row r="318" spans="5:7" x14ac:dyDescent="0.45">
      <c r="E318" s="538"/>
      <c r="F318" s="538"/>
      <c r="G318" s="538"/>
    </row>
    <row r="319" spans="5:7" x14ac:dyDescent="0.45">
      <c r="E319" s="538"/>
      <c r="F319" s="538"/>
      <c r="G319" s="538"/>
    </row>
    <row r="320" spans="5:7" x14ac:dyDescent="0.45">
      <c r="E320" s="538"/>
      <c r="F320" s="538"/>
      <c r="G320" s="538"/>
    </row>
    <row r="321" spans="5:7" x14ac:dyDescent="0.45">
      <c r="E321" s="538"/>
      <c r="F321" s="538"/>
      <c r="G321" s="538"/>
    </row>
    <row r="322" spans="5:7" x14ac:dyDescent="0.45">
      <c r="E322" s="538"/>
      <c r="F322" s="538"/>
      <c r="G322" s="538"/>
    </row>
    <row r="323" spans="5:7" x14ac:dyDescent="0.45">
      <c r="E323" s="538"/>
      <c r="F323" s="538"/>
      <c r="G323" s="538"/>
    </row>
    <row r="324" spans="5:7" x14ac:dyDescent="0.45">
      <c r="E324" s="538"/>
      <c r="F324" s="538"/>
      <c r="G324" s="538"/>
    </row>
    <row r="325" spans="5:7" x14ac:dyDescent="0.45">
      <c r="E325" s="538"/>
      <c r="F325" s="538"/>
      <c r="G325" s="538"/>
    </row>
    <row r="326" spans="5:7" x14ac:dyDescent="0.45">
      <c r="E326" s="538"/>
      <c r="F326" s="538"/>
      <c r="G326" s="538"/>
    </row>
    <row r="327" spans="5:7" x14ac:dyDescent="0.45">
      <c r="E327" s="538"/>
      <c r="F327" s="538"/>
      <c r="G327" s="538"/>
    </row>
    <row r="328" spans="5:7" x14ac:dyDescent="0.45">
      <c r="E328" s="538"/>
      <c r="F328" s="538"/>
      <c r="G328" s="538"/>
    </row>
    <row r="329" spans="5:7" x14ac:dyDescent="0.45">
      <c r="E329" s="538"/>
      <c r="F329" s="538"/>
      <c r="G329" s="538"/>
    </row>
    <row r="330" spans="5:7" x14ac:dyDescent="0.45">
      <c r="E330" s="538"/>
      <c r="F330" s="538"/>
      <c r="G330" s="538"/>
    </row>
    <row r="331" spans="5:7" x14ac:dyDescent="0.45">
      <c r="E331" s="538"/>
      <c r="F331" s="538"/>
      <c r="G331" s="538"/>
    </row>
    <row r="332" spans="5:7" x14ac:dyDescent="0.45">
      <c r="E332" s="538"/>
      <c r="F332" s="538"/>
      <c r="G332" s="538"/>
    </row>
    <row r="333" spans="5:7" x14ac:dyDescent="0.45">
      <c r="E333" s="538"/>
      <c r="F333" s="538"/>
      <c r="G333" s="538"/>
    </row>
    <row r="334" spans="5:7" x14ac:dyDescent="0.45">
      <c r="E334" s="538"/>
      <c r="F334" s="538"/>
      <c r="G334" s="538"/>
    </row>
    <row r="335" spans="5:7" x14ac:dyDescent="0.45">
      <c r="E335" s="538"/>
      <c r="F335" s="538"/>
      <c r="G335" s="538"/>
    </row>
    <row r="336" spans="5:7" x14ac:dyDescent="0.45">
      <c r="E336" s="538"/>
      <c r="F336" s="538"/>
      <c r="G336" s="538"/>
    </row>
    <row r="337" spans="5:7" x14ac:dyDescent="0.45">
      <c r="E337" s="538"/>
      <c r="F337" s="538"/>
      <c r="G337" s="538"/>
    </row>
    <row r="338" spans="5:7" x14ac:dyDescent="0.45">
      <c r="E338" s="538"/>
      <c r="F338" s="538"/>
      <c r="G338" s="538"/>
    </row>
    <row r="339" spans="5:7" x14ac:dyDescent="0.45">
      <c r="E339" s="538"/>
      <c r="F339" s="538"/>
      <c r="G339" s="538"/>
    </row>
    <row r="340" spans="5:7" x14ac:dyDescent="0.45">
      <c r="E340" s="538"/>
      <c r="F340" s="538"/>
      <c r="G340" s="538"/>
    </row>
    <row r="341" spans="5:7" x14ac:dyDescent="0.45">
      <c r="E341" s="538"/>
      <c r="F341" s="538"/>
      <c r="G341" s="538"/>
    </row>
    <row r="342" spans="5:7" x14ac:dyDescent="0.45">
      <c r="E342" s="538"/>
      <c r="F342" s="538"/>
      <c r="G342" s="538"/>
    </row>
    <row r="343" spans="5:7" x14ac:dyDescent="0.45">
      <c r="E343" s="538"/>
      <c r="F343" s="538"/>
      <c r="G343" s="538"/>
    </row>
    <row r="344" spans="5:7" x14ac:dyDescent="0.45">
      <c r="E344" s="538"/>
      <c r="F344" s="538"/>
      <c r="G344" s="538"/>
    </row>
    <row r="345" spans="5:7" x14ac:dyDescent="0.45">
      <c r="E345" s="538"/>
      <c r="F345" s="538"/>
      <c r="G345" s="538"/>
    </row>
    <row r="346" spans="5:7" x14ac:dyDescent="0.45">
      <c r="E346" s="538"/>
      <c r="F346" s="538"/>
      <c r="G346" s="538"/>
    </row>
    <row r="347" spans="5:7" x14ac:dyDescent="0.45">
      <c r="E347" s="538"/>
      <c r="F347" s="538"/>
      <c r="G347" s="538"/>
    </row>
    <row r="348" spans="5:7" x14ac:dyDescent="0.45">
      <c r="E348" s="538"/>
      <c r="F348" s="538"/>
      <c r="G348" s="538"/>
    </row>
    <row r="349" spans="5:7" x14ac:dyDescent="0.45">
      <c r="E349" s="538"/>
      <c r="F349" s="538"/>
      <c r="G349" s="538"/>
    </row>
    <row r="350" spans="5:7" x14ac:dyDescent="0.45">
      <c r="E350" s="538"/>
      <c r="F350" s="538"/>
      <c r="G350" s="538"/>
    </row>
    <row r="351" spans="5:7" x14ac:dyDescent="0.45">
      <c r="E351" s="538"/>
      <c r="F351" s="538"/>
      <c r="G351" s="538"/>
    </row>
    <row r="352" spans="5:7" x14ac:dyDescent="0.45">
      <c r="E352" s="538"/>
      <c r="F352" s="538"/>
      <c r="G352" s="538"/>
    </row>
    <row r="353" spans="5:7" x14ac:dyDescent="0.45">
      <c r="E353" s="538"/>
      <c r="F353" s="538"/>
      <c r="G353" s="538"/>
    </row>
    <row r="354" spans="5:7" x14ac:dyDescent="0.45">
      <c r="E354" s="538"/>
      <c r="F354" s="538"/>
      <c r="G354" s="538"/>
    </row>
    <row r="355" spans="5:7" x14ac:dyDescent="0.45">
      <c r="E355" s="538"/>
      <c r="F355" s="538"/>
      <c r="G355" s="538"/>
    </row>
    <row r="356" spans="5:7" x14ac:dyDescent="0.45">
      <c r="E356" s="538"/>
      <c r="F356" s="538"/>
      <c r="G356" s="538"/>
    </row>
    <row r="357" spans="5:7" x14ac:dyDescent="0.45">
      <c r="E357" s="538"/>
      <c r="F357" s="538"/>
      <c r="G357" s="538"/>
    </row>
    <row r="358" spans="5:7" x14ac:dyDescent="0.45">
      <c r="E358" s="538"/>
      <c r="F358" s="538"/>
      <c r="G358" s="538"/>
    </row>
    <row r="359" spans="5:7" x14ac:dyDescent="0.45">
      <c r="E359" s="538"/>
      <c r="F359" s="538"/>
      <c r="G359" s="538"/>
    </row>
    <row r="360" spans="5:7" x14ac:dyDescent="0.45">
      <c r="E360" s="538"/>
      <c r="F360" s="538"/>
      <c r="G360" s="538"/>
    </row>
    <row r="361" spans="5:7" x14ac:dyDescent="0.45">
      <c r="E361" s="538"/>
      <c r="F361" s="538"/>
      <c r="G361" s="538"/>
    </row>
    <row r="362" spans="5:7" x14ac:dyDescent="0.45">
      <c r="E362" s="538"/>
      <c r="F362" s="538"/>
      <c r="G362" s="538"/>
    </row>
    <row r="363" spans="5:7" x14ac:dyDescent="0.45">
      <c r="E363" s="538"/>
      <c r="F363" s="538"/>
      <c r="G363" s="538"/>
    </row>
    <row r="364" spans="5:7" x14ac:dyDescent="0.45">
      <c r="E364" s="538"/>
      <c r="F364" s="538"/>
      <c r="G364" s="538"/>
    </row>
    <row r="365" spans="5:7" x14ac:dyDescent="0.45">
      <c r="E365" s="538"/>
      <c r="F365" s="538"/>
      <c r="G365" s="538"/>
    </row>
    <row r="366" spans="5:7" x14ac:dyDescent="0.45">
      <c r="E366" s="538"/>
      <c r="F366" s="538"/>
      <c r="G366" s="538"/>
    </row>
    <row r="367" spans="5:7" x14ac:dyDescent="0.45">
      <c r="E367" s="538"/>
      <c r="F367" s="538"/>
      <c r="G367" s="538"/>
    </row>
    <row r="368" spans="5:7" x14ac:dyDescent="0.45">
      <c r="E368" s="538"/>
      <c r="F368" s="538"/>
      <c r="G368" s="538"/>
    </row>
    <row r="369" spans="5:7" x14ac:dyDescent="0.45">
      <c r="E369" s="538"/>
      <c r="F369" s="538"/>
      <c r="G369" s="538"/>
    </row>
    <row r="370" spans="5:7" x14ac:dyDescent="0.45">
      <c r="E370" s="538"/>
      <c r="F370" s="538"/>
      <c r="G370" s="538"/>
    </row>
    <row r="371" spans="5:7" x14ac:dyDescent="0.45">
      <c r="E371" s="538"/>
      <c r="F371" s="538"/>
      <c r="G371" s="538"/>
    </row>
    <row r="372" spans="5:7" x14ac:dyDescent="0.45">
      <c r="E372" s="538"/>
      <c r="F372" s="538"/>
      <c r="G372" s="538"/>
    </row>
    <row r="373" spans="5:7" x14ac:dyDescent="0.45">
      <c r="E373" s="538"/>
      <c r="F373" s="538"/>
      <c r="G373" s="538"/>
    </row>
    <row r="374" spans="5:7" x14ac:dyDescent="0.45">
      <c r="E374" s="538"/>
      <c r="F374" s="538"/>
      <c r="G374" s="538"/>
    </row>
    <row r="375" spans="5:7" x14ac:dyDescent="0.45">
      <c r="E375" s="538"/>
      <c r="F375" s="538"/>
      <c r="G375" s="538"/>
    </row>
    <row r="376" spans="5:7" x14ac:dyDescent="0.45">
      <c r="E376" s="538"/>
      <c r="F376" s="538"/>
      <c r="G376" s="538"/>
    </row>
    <row r="377" spans="5:7" x14ac:dyDescent="0.45">
      <c r="E377" s="538"/>
      <c r="F377" s="538"/>
      <c r="G377" s="538"/>
    </row>
    <row r="378" spans="5:7" x14ac:dyDescent="0.45">
      <c r="E378" s="538"/>
      <c r="F378" s="538"/>
      <c r="G378" s="538"/>
    </row>
    <row r="379" spans="5:7" x14ac:dyDescent="0.45">
      <c r="E379" s="538"/>
      <c r="F379" s="538"/>
      <c r="G379" s="538"/>
    </row>
    <row r="380" spans="5:7" x14ac:dyDescent="0.45">
      <c r="E380" s="538"/>
      <c r="F380" s="538"/>
      <c r="G380" s="538"/>
    </row>
    <row r="381" spans="5:7" x14ac:dyDescent="0.45">
      <c r="E381" s="538"/>
      <c r="F381" s="538"/>
      <c r="G381" s="538"/>
    </row>
    <row r="382" spans="5:7" x14ac:dyDescent="0.45">
      <c r="E382" s="538"/>
      <c r="F382" s="538"/>
      <c r="G382" s="538"/>
    </row>
    <row r="383" spans="5:7" x14ac:dyDescent="0.45">
      <c r="E383" s="538"/>
      <c r="F383" s="538"/>
      <c r="G383" s="538"/>
    </row>
    <row r="384" spans="5:7" x14ac:dyDescent="0.45">
      <c r="E384" s="538"/>
      <c r="F384" s="538"/>
      <c r="G384" s="538"/>
    </row>
    <row r="385" spans="5:7" x14ac:dyDescent="0.45">
      <c r="E385" s="538"/>
      <c r="F385" s="538"/>
      <c r="G385" s="538"/>
    </row>
    <row r="386" spans="5:7" x14ac:dyDescent="0.45">
      <c r="E386" s="538"/>
      <c r="F386" s="538"/>
      <c r="G386" s="538"/>
    </row>
    <row r="387" spans="5:7" x14ac:dyDescent="0.45">
      <c r="E387" s="538"/>
      <c r="F387" s="538"/>
      <c r="G387" s="538"/>
    </row>
    <row r="388" spans="5:7" x14ac:dyDescent="0.45">
      <c r="E388" s="538"/>
      <c r="F388" s="538"/>
      <c r="G388" s="538"/>
    </row>
    <row r="389" spans="5:7" x14ac:dyDescent="0.45">
      <c r="E389" s="538"/>
      <c r="F389" s="538"/>
      <c r="G389" s="538"/>
    </row>
    <row r="390" spans="5:7" x14ac:dyDescent="0.45">
      <c r="E390" s="538"/>
      <c r="F390" s="538"/>
      <c r="G390" s="538"/>
    </row>
    <row r="391" spans="5:7" x14ac:dyDescent="0.45">
      <c r="E391" s="538"/>
      <c r="F391" s="538"/>
      <c r="G391" s="538"/>
    </row>
    <row r="392" spans="5:7" x14ac:dyDescent="0.45">
      <c r="E392" s="538"/>
      <c r="F392" s="538"/>
      <c r="G392" s="538"/>
    </row>
    <row r="393" spans="5:7" x14ac:dyDescent="0.45">
      <c r="E393" s="538"/>
      <c r="F393" s="538"/>
      <c r="G393" s="538"/>
    </row>
    <row r="394" spans="5:7" x14ac:dyDescent="0.45">
      <c r="E394" s="538"/>
      <c r="F394" s="538"/>
      <c r="G394" s="538"/>
    </row>
    <row r="395" spans="5:7" x14ac:dyDescent="0.45">
      <c r="E395" s="538"/>
      <c r="F395" s="538"/>
      <c r="G395" s="538"/>
    </row>
    <row r="396" spans="5:7" x14ac:dyDescent="0.45">
      <c r="E396" s="538"/>
      <c r="F396" s="538"/>
      <c r="G396" s="538"/>
    </row>
    <row r="397" spans="5:7" x14ac:dyDescent="0.45">
      <c r="E397" s="538"/>
      <c r="F397" s="538"/>
      <c r="G397" s="538"/>
    </row>
    <row r="398" spans="5:7" x14ac:dyDescent="0.45">
      <c r="E398" s="538"/>
      <c r="F398" s="538"/>
      <c r="G398" s="538"/>
    </row>
    <row r="399" spans="5:7" x14ac:dyDescent="0.45">
      <c r="E399" s="538"/>
      <c r="F399" s="538"/>
      <c r="G399" s="538"/>
    </row>
    <row r="400" spans="5:7" x14ac:dyDescent="0.45">
      <c r="E400" s="538"/>
      <c r="F400" s="538"/>
      <c r="G400" s="538"/>
    </row>
    <row r="401" spans="5:7" x14ac:dyDescent="0.45">
      <c r="E401" s="538"/>
      <c r="F401" s="538"/>
      <c r="G401" s="538"/>
    </row>
    <row r="402" spans="5:7" x14ac:dyDescent="0.45">
      <c r="E402" s="538"/>
      <c r="F402" s="538"/>
      <c r="G402" s="538"/>
    </row>
    <row r="403" spans="5:7" x14ac:dyDescent="0.45">
      <c r="E403" s="538"/>
      <c r="F403" s="538"/>
      <c r="G403" s="538"/>
    </row>
    <row r="404" spans="5:7" x14ac:dyDescent="0.45">
      <c r="E404" s="538"/>
      <c r="F404" s="538"/>
      <c r="G404" s="538"/>
    </row>
    <row r="405" spans="5:7" x14ac:dyDescent="0.45">
      <c r="E405" s="538"/>
      <c r="F405" s="538"/>
      <c r="G405" s="538"/>
    </row>
    <row r="406" spans="5:7" x14ac:dyDescent="0.45">
      <c r="E406" s="538"/>
      <c r="F406" s="538"/>
      <c r="G406" s="538"/>
    </row>
    <row r="407" spans="5:7" x14ac:dyDescent="0.45">
      <c r="E407" s="538"/>
      <c r="F407" s="538"/>
      <c r="G407" s="538"/>
    </row>
    <row r="408" spans="5:7" x14ac:dyDescent="0.45">
      <c r="E408" s="538"/>
      <c r="F408" s="538"/>
      <c r="G408" s="538"/>
    </row>
    <row r="409" spans="5:7" x14ac:dyDescent="0.45">
      <c r="E409" s="538"/>
      <c r="F409" s="538"/>
      <c r="G409" s="538"/>
    </row>
    <row r="410" spans="5:7" x14ac:dyDescent="0.45">
      <c r="E410" s="538"/>
      <c r="F410" s="538"/>
      <c r="G410" s="538"/>
    </row>
    <row r="411" spans="5:7" x14ac:dyDescent="0.45">
      <c r="E411" s="538"/>
      <c r="F411" s="538"/>
      <c r="G411" s="538"/>
    </row>
    <row r="412" spans="5:7" x14ac:dyDescent="0.45">
      <c r="E412" s="538"/>
      <c r="F412" s="538"/>
      <c r="G412" s="538"/>
    </row>
    <row r="413" spans="5:7" x14ac:dyDescent="0.45">
      <c r="E413" s="538"/>
      <c r="F413" s="538"/>
      <c r="G413" s="538"/>
    </row>
    <row r="414" spans="5:7" x14ac:dyDescent="0.45">
      <c r="E414" s="538"/>
      <c r="F414" s="538"/>
      <c r="G414" s="538"/>
    </row>
    <row r="415" spans="5:7" x14ac:dyDescent="0.45">
      <c r="E415" s="538"/>
      <c r="F415" s="538"/>
      <c r="G415" s="538"/>
    </row>
    <row r="416" spans="5:7" x14ac:dyDescent="0.45">
      <c r="E416" s="538"/>
      <c r="F416" s="538"/>
      <c r="G416" s="538"/>
    </row>
    <row r="417" spans="5:7" x14ac:dyDescent="0.45">
      <c r="E417" s="538"/>
      <c r="F417" s="538"/>
      <c r="G417" s="538"/>
    </row>
    <row r="418" spans="5:7" x14ac:dyDescent="0.45">
      <c r="E418" s="538"/>
      <c r="F418" s="538"/>
      <c r="G418" s="538"/>
    </row>
    <row r="419" spans="5:7" x14ac:dyDescent="0.45">
      <c r="E419" s="538"/>
      <c r="F419" s="538"/>
      <c r="G419" s="538"/>
    </row>
    <row r="420" spans="5:7" x14ac:dyDescent="0.45">
      <c r="E420" s="538"/>
      <c r="F420" s="538"/>
      <c r="G420" s="538"/>
    </row>
    <row r="421" spans="5:7" x14ac:dyDescent="0.45">
      <c r="E421" s="538"/>
      <c r="F421" s="538"/>
      <c r="G421" s="538"/>
    </row>
    <row r="422" spans="5:7" x14ac:dyDescent="0.45">
      <c r="E422" s="538"/>
      <c r="F422" s="538"/>
      <c r="G422" s="538"/>
    </row>
    <row r="423" spans="5:7" x14ac:dyDescent="0.45">
      <c r="E423" s="538"/>
      <c r="F423" s="538"/>
      <c r="G423" s="538"/>
    </row>
    <row r="424" spans="5:7" x14ac:dyDescent="0.45">
      <c r="E424" s="538"/>
      <c r="F424" s="538"/>
      <c r="G424" s="538"/>
    </row>
    <row r="425" spans="5:7" x14ac:dyDescent="0.45">
      <c r="E425" s="538"/>
      <c r="F425" s="538"/>
      <c r="G425" s="538"/>
    </row>
    <row r="426" spans="5:7" x14ac:dyDescent="0.45">
      <c r="E426" s="538"/>
      <c r="F426" s="538"/>
      <c r="G426" s="538"/>
    </row>
    <row r="427" spans="5:7" x14ac:dyDescent="0.45">
      <c r="E427" s="538"/>
      <c r="F427" s="538"/>
      <c r="G427" s="538"/>
    </row>
    <row r="428" spans="5:7" x14ac:dyDescent="0.45">
      <c r="E428" s="538"/>
      <c r="F428" s="538"/>
      <c r="G428" s="538"/>
    </row>
    <row r="429" spans="5:7" x14ac:dyDescent="0.45">
      <c r="E429" s="538"/>
      <c r="F429" s="538"/>
      <c r="G429" s="538"/>
    </row>
    <row r="430" spans="5:7" x14ac:dyDescent="0.45">
      <c r="E430" s="538"/>
      <c r="F430" s="538"/>
      <c r="G430" s="538"/>
    </row>
    <row r="431" spans="5:7" x14ac:dyDescent="0.45">
      <c r="E431" s="538"/>
      <c r="F431" s="538"/>
      <c r="G431" s="538"/>
    </row>
    <row r="432" spans="5:7" x14ac:dyDescent="0.45">
      <c r="E432" s="538"/>
      <c r="F432" s="538"/>
      <c r="G432" s="538"/>
    </row>
    <row r="433" spans="5:7" x14ac:dyDescent="0.45">
      <c r="E433" s="538"/>
      <c r="F433" s="538"/>
      <c r="G433" s="538"/>
    </row>
    <row r="434" spans="5:7" x14ac:dyDescent="0.45">
      <c r="E434" s="538"/>
      <c r="F434" s="538"/>
      <c r="G434" s="538"/>
    </row>
    <row r="435" spans="5:7" x14ac:dyDescent="0.45">
      <c r="E435" s="538"/>
      <c r="F435" s="538"/>
      <c r="G435" s="538"/>
    </row>
    <row r="436" spans="5:7" x14ac:dyDescent="0.45">
      <c r="E436" s="538"/>
      <c r="F436" s="538"/>
      <c r="G436" s="538"/>
    </row>
    <row r="437" spans="5:7" x14ac:dyDescent="0.45">
      <c r="E437" s="538"/>
      <c r="F437" s="538"/>
      <c r="G437" s="538"/>
    </row>
    <row r="438" spans="5:7" x14ac:dyDescent="0.45">
      <c r="E438" s="538"/>
      <c r="F438" s="538"/>
      <c r="G438" s="538"/>
    </row>
    <row r="439" spans="5:7" x14ac:dyDescent="0.45">
      <c r="E439" s="538"/>
      <c r="F439" s="538"/>
      <c r="G439" s="538"/>
    </row>
  </sheetData>
  <mergeCells count="9">
    <mergeCell ref="B93:I94"/>
    <mergeCell ref="K93:K94"/>
    <mergeCell ref="E3:F3"/>
    <mergeCell ref="E1:F1"/>
    <mergeCell ref="J28:K28"/>
    <mergeCell ref="J20:K20"/>
    <mergeCell ref="J21:K21"/>
    <mergeCell ref="J23:K23"/>
    <mergeCell ref="J1:P1"/>
  </mergeCells>
  <pageMargins left="0.7" right="0.7" top="0.75" bottom="0.75" header="0.3" footer="0.3"/>
  <pageSetup scale="62" fitToHeight="0" orientation="portrait" r:id="rId1"/>
  <ignoredErrors>
    <ignoredError sqref="D23 D27 D8:D9 H8" formula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BY199"/>
  <sheetViews>
    <sheetView showGridLines="0" zoomScale="180" zoomScaleNormal="180" workbookViewId="0">
      <pane xSplit="7" ySplit="1" topLeftCell="H20" activePane="bottomRight" state="frozen"/>
      <selection pane="topRight"/>
      <selection pane="bottomLeft" activeCell="B1" sqref="B1"/>
      <selection pane="bottomRight" activeCell="L29" sqref="L29"/>
    </sheetView>
  </sheetViews>
  <sheetFormatPr defaultColWidth="8.88671875" defaultRowHeight="14.4" outlineLevelRow="3" outlineLevelCol="1" x14ac:dyDescent="0.3"/>
  <cols>
    <col min="1" max="1" width="4.6640625" hidden="1" customWidth="1"/>
    <col min="2" max="2" width="44.44140625" customWidth="1"/>
    <col min="3" max="3" width="20.44140625" hidden="1" customWidth="1" outlineLevel="1"/>
    <col min="4" max="4" width="19.44140625" style="71" hidden="1" customWidth="1" collapsed="1"/>
    <col min="5" max="5" width="18.88671875" hidden="1" customWidth="1" outlineLevel="1"/>
    <col min="6" max="6" width="19.44140625" hidden="1" customWidth="1" collapsed="1"/>
    <col min="7" max="7" width="19.44140625" hidden="1" customWidth="1"/>
    <col min="8" max="8" width="19.44140625" style="266" customWidth="1" collapsed="1"/>
    <col min="9" max="9" width="19.44140625" customWidth="1" collapsed="1"/>
    <col min="10" max="10" width="19.44140625" style="477" customWidth="1"/>
    <col min="11" max="11" width="15" hidden="1" customWidth="1"/>
    <col min="12" max="12" width="19.44140625" customWidth="1"/>
    <col min="13" max="13" width="12.44140625" bestFit="1" customWidth="1"/>
    <col min="14" max="14" width="13.44140625" bestFit="1" customWidth="1"/>
    <col min="15" max="15" width="11.44140625" customWidth="1"/>
    <col min="16" max="16" width="11.6640625" bestFit="1" customWidth="1"/>
    <col min="17" max="17" width="15.44140625" bestFit="1" customWidth="1"/>
    <col min="18" max="18" width="12.33203125" customWidth="1"/>
    <col min="19" max="19" width="13.33203125" customWidth="1"/>
    <col min="20" max="20" width="10.33203125" customWidth="1"/>
    <col min="21" max="21" width="13.33203125" customWidth="1"/>
  </cols>
  <sheetData>
    <row r="1" spans="1:23" ht="47.4" thickBot="1" x14ac:dyDescent="0.5">
      <c r="A1" s="176"/>
      <c r="B1" s="251" t="s">
        <v>195</v>
      </c>
      <c r="C1" s="177" t="s">
        <v>196</v>
      </c>
      <c r="D1" s="178" t="s">
        <v>197</v>
      </c>
      <c r="E1" s="179" t="s">
        <v>198</v>
      </c>
      <c r="F1" s="180" t="s">
        <v>199</v>
      </c>
      <c r="G1" s="181" t="s">
        <v>200</v>
      </c>
      <c r="H1" s="180" t="s">
        <v>201</v>
      </c>
      <c r="I1" s="458" t="s">
        <v>98</v>
      </c>
      <c r="J1" s="459" t="s">
        <v>99</v>
      </c>
      <c r="K1" s="182" t="s">
        <v>200</v>
      </c>
      <c r="L1" s="410" t="s">
        <v>202</v>
      </c>
    </row>
    <row r="2" spans="1:23" ht="13.5" customHeight="1" thickTop="1" thickBot="1" x14ac:dyDescent="0.45">
      <c r="A2" s="183"/>
      <c r="B2" s="252"/>
      <c r="C2" s="184"/>
      <c r="D2" s="185"/>
      <c r="E2" s="186">
        <f>Wages!I25-6713</f>
        <v>102923.77</v>
      </c>
      <c r="F2" s="187"/>
      <c r="G2" s="187"/>
      <c r="H2" s="187"/>
      <c r="I2" s="187"/>
      <c r="J2" s="460"/>
      <c r="K2" s="195">
        <f t="shared" ref="K2:K3" si="0">J2-I2</f>
        <v>0</v>
      </c>
      <c r="L2" s="188"/>
      <c r="M2" s="743" t="s">
        <v>203</v>
      </c>
      <c r="N2" s="744"/>
      <c r="O2" s="427"/>
      <c r="P2" s="626">
        <v>0</v>
      </c>
      <c r="Q2" s="628">
        <v>0.01</v>
      </c>
      <c r="R2" s="629">
        <v>0.02</v>
      </c>
      <c r="S2" s="629">
        <v>0.03</v>
      </c>
      <c r="T2" s="629">
        <v>0.04</v>
      </c>
      <c r="U2" s="630">
        <v>0.05</v>
      </c>
      <c r="W2" s="315"/>
    </row>
    <row r="3" spans="1:23" ht="21.75" customHeight="1" outlineLevel="1" thickTop="1" thickBot="1" x14ac:dyDescent="0.4">
      <c r="A3" s="189">
        <v>1</v>
      </c>
      <c r="B3" s="253" t="s">
        <v>204</v>
      </c>
      <c r="C3" s="190">
        <f>SUM(C4:C12)</f>
        <v>137532.83000000002</v>
      </c>
      <c r="D3" s="191">
        <v>131687</v>
      </c>
      <c r="E3" s="192">
        <f>SUM(E4:E12)</f>
        <v>103470</v>
      </c>
      <c r="F3" s="193">
        <f>SUM(F4:F12)</f>
        <v>120439.302948</v>
      </c>
      <c r="G3" s="194">
        <f>D3-F3</f>
        <v>11247.697052000003</v>
      </c>
      <c r="H3" s="193">
        <f>SUM(H4:H12)</f>
        <v>102525.38</v>
      </c>
      <c r="I3" s="193">
        <f>SUM(I4:I12)</f>
        <v>151753.49</v>
      </c>
      <c r="J3" s="461">
        <f>ROUNDUP(SUM(J4:J12),-2)</f>
        <v>180000</v>
      </c>
      <c r="K3" s="195">
        <f t="shared" si="0"/>
        <v>28246.510000000009</v>
      </c>
      <c r="L3" s="195">
        <f>ROUNDUP(SUM(L4:L12),-2)</f>
        <v>186700</v>
      </c>
      <c r="M3" s="456">
        <v>0.06</v>
      </c>
      <c r="N3" s="334">
        <v>1</v>
      </c>
      <c r="O3" s="428"/>
      <c r="P3" s="627">
        <v>178000</v>
      </c>
      <c r="Q3" s="631">
        <v>600</v>
      </c>
      <c r="R3" s="632">
        <v>1100</v>
      </c>
      <c r="S3" s="632">
        <v>1700</v>
      </c>
      <c r="T3" s="632">
        <v>2300</v>
      </c>
      <c r="U3" s="633">
        <v>2900</v>
      </c>
      <c r="W3" s="5"/>
    </row>
    <row r="4" spans="1:23" ht="15.75" customHeight="1" outlineLevel="2" thickTop="1" thickBot="1" x14ac:dyDescent="0.35">
      <c r="A4" s="196"/>
      <c r="B4" s="254" t="s">
        <v>205</v>
      </c>
      <c r="C4" s="197">
        <f>106149.55</f>
        <v>106149.55</v>
      </c>
      <c r="D4" s="198"/>
      <c r="E4" s="199">
        <v>83524.350000000006</v>
      </c>
      <c r="F4" s="200">
        <f>((E4-Wages!I14)*1.3333)+Wages!I14</f>
        <v>97501.805447999999</v>
      </c>
      <c r="G4" s="201"/>
      <c r="H4" s="480">
        <v>80112.05</v>
      </c>
      <c r="I4" s="480">
        <f>H4+(12304.65*3)</f>
        <v>117026</v>
      </c>
      <c r="J4" s="462">
        <v>179943.67</v>
      </c>
      <c r="K4" s="202"/>
      <c r="L4" s="202">
        <f>'Emp Wages'!I91</f>
        <v>186672.29</v>
      </c>
      <c r="O4" s="429"/>
      <c r="Q4" s="745" t="s">
        <v>206</v>
      </c>
      <c r="R4" s="746"/>
      <c r="S4" s="746"/>
      <c r="T4" s="746"/>
      <c r="U4" s="747"/>
    </row>
    <row r="5" spans="1:23" ht="15" customHeight="1" outlineLevel="2" x14ac:dyDescent="0.3">
      <c r="A5" s="196"/>
      <c r="B5" s="254" t="s">
        <v>207</v>
      </c>
      <c r="C5" s="197">
        <v>20309.53</v>
      </c>
      <c r="D5" s="198"/>
      <c r="E5" s="199">
        <v>11288.86</v>
      </c>
      <c r="F5" s="200">
        <f>E5*1.15</f>
        <v>12982.189</v>
      </c>
      <c r="G5" s="201"/>
      <c r="H5" s="480">
        <v>9099.35</v>
      </c>
      <c r="I5" s="480">
        <f>H5+(1536.18*3 )</f>
        <v>13707.89</v>
      </c>
      <c r="J5" s="462"/>
      <c r="K5" s="202"/>
      <c r="L5" s="202">
        <v>0</v>
      </c>
      <c r="O5" s="429"/>
    </row>
    <row r="6" spans="1:23" ht="15" customHeight="1" outlineLevel="2" x14ac:dyDescent="0.3">
      <c r="A6" s="196"/>
      <c r="B6" s="254" t="s">
        <v>208</v>
      </c>
      <c r="C6" s="197">
        <v>11073.75</v>
      </c>
      <c r="D6" s="198"/>
      <c r="E6" s="199">
        <v>8656.7900000000009</v>
      </c>
      <c r="F6" s="200">
        <f>E6*1.15</f>
        <v>9955.308500000001</v>
      </c>
      <c r="G6" s="201"/>
      <c r="H6" s="480">
        <v>13313.98</v>
      </c>
      <c r="I6" s="480">
        <f>H6+(2568.54*3)</f>
        <v>21019.599999999999</v>
      </c>
      <c r="J6" s="462"/>
      <c r="K6" s="202"/>
      <c r="L6" s="202">
        <v>0</v>
      </c>
      <c r="O6" s="429"/>
    </row>
    <row r="7" spans="1:23" ht="15" customHeight="1" outlineLevel="2" x14ac:dyDescent="0.3">
      <c r="A7" s="196"/>
      <c r="B7" s="254" t="s">
        <v>209</v>
      </c>
      <c r="C7" s="197">
        <v>0</v>
      </c>
      <c r="D7" s="198"/>
      <c r="E7" s="199">
        <v>0</v>
      </c>
      <c r="F7" s="200">
        <f t="shared" ref="F7:F11" si="1">E7*1.3333</f>
        <v>0</v>
      </c>
      <c r="G7" s="203" t="s">
        <v>126</v>
      </c>
      <c r="H7" s="482">
        <v>0</v>
      </c>
      <c r="I7" s="482">
        <v>0</v>
      </c>
      <c r="J7" s="462">
        <f>F7*$O$16</f>
        <v>0</v>
      </c>
      <c r="K7" s="202"/>
      <c r="L7" s="202">
        <f>H7*$O$16</f>
        <v>0</v>
      </c>
      <c r="O7" s="429"/>
    </row>
    <row r="8" spans="1:23" ht="15" customHeight="1" outlineLevel="2" x14ac:dyDescent="0.3">
      <c r="A8" s="196"/>
      <c r="B8" s="254" t="s">
        <v>210</v>
      </c>
      <c r="C8" s="197">
        <v>0</v>
      </c>
      <c r="D8" s="198"/>
      <c r="E8" s="199">
        <v>0</v>
      </c>
      <c r="F8" s="200">
        <f t="shared" si="1"/>
        <v>0</v>
      </c>
      <c r="G8" s="201"/>
      <c r="H8" s="482">
        <f t="shared" ref="H8:I11" si="2">G8*1.2</f>
        <v>0</v>
      </c>
      <c r="I8" s="482">
        <f t="shared" si="2"/>
        <v>0</v>
      </c>
      <c r="J8" s="462">
        <f>E8*$O$16</f>
        <v>0</v>
      </c>
      <c r="K8" s="202"/>
      <c r="L8" s="202">
        <f>G8*$O$16</f>
        <v>0</v>
      </c>
      <c r="O8" s="429"/>
    </row>
    <row r="9" spans="1:23" ht="15" customHeight="1" outlineLevel="2" x14ac:dyDescent="0.3">
      <c r="A9" s="196"/>
      <c r="B9" s="254" t="s">
        <v>211</v>
      </c>
      <c r="C9" s="197">
        <v>0</v>
      </c>
      <c r="D9" s="198"/>
      <c r="E9" s="199">
        <v>0</v>
      </c>
      <c r="F9" s="200">
        <f t="shared" ref="F9" si="3">E9*1.3333</f>
        <v>0</v>
      </c>
      <c r="G9" s="201"/>
      <c r="H9" s="482">
        <f t="shared" si="2"/>
        <v>0</v>
      </c>
      <c r="I9" s="482">
        <f t="shared" si="2"/>
        <v>0</v>
      </c>
      <c r="J9" s="462">
        <f>E9*$O$16</f>
        <v>0</v>
      </c>
      <c r="K9" s="202"/>
      <c r="L9" s="202">
        <f>G9*$O$16</f>
        <v>0</v>
      </c>
      <c r="O9" s="429"/>
    </row>
    <row r="10" spans="1:23" ht="15" customHeight="1" outlineLevel="2" x14ac:dyDescent="0.3">
      <c r="A10" s="196"/>
      <c r="B10" s="254" t="s">
        <v>212</v>
      </c>
      <c r="C10" s="197">
        <v>0</v>
      </c>
      <c r="D10" s="198"/>
      <c r="E10" s="199">
        <v>0</v>
      </c>
      <c r="F10" s="200">
        <f t="shared" si="1"/>
        <v>0</v>
      </c>
      <c r="G10" s="201"/>
      <c r="H10" s="482">
        <f t="shared" si="2"/>
        <v>0</v>
      </c>
      <c r="I10" s="482">
        <f t="shared" si="2"/>
        <v>0</v>
      </c>
      <c r="J10" s="462">
        <f>E10*$O$16</f>
        <v>0</v>
      </c>
      <c r="K10" s="202"/>
      <c r="L10" s="202">
        <f>G10*$O$16</f>
        <v>0</v>
      </c>
      <c r="O10" s="429"/>
    </row>
    <row r="11" spans="1:23" ht="15" customHeight="1" outlineLevel="2" x14ac:dyDescent="0.3">
      <c r="A11" s="196"/>
      <c r="B11" s="254" t="s">
        <v>213</v>
      </c>
      <c r="C11" s="197">
        <v>0</v>
      </c>
      <c r="D11" s="198"/>
      <c r="E11" s="199">
        <v>0</v>
      </c>
      <c r="F11" s="200">
        <f t="shared" si="1"/>
        <v>0</v>
      </c>
      <c r="G11" s="201"/>
      <c r="H11" s="482">
        <f t="shared" si="2"/>
        <v>0</v>
      </c>
      <c r="I11" s="482">
        <f t="shared" si="2"/>
        <v>0</v>
      </c>
      <c r="J11" s="462">
        <f>E11*$O$16</f>
        <v>0</v>
      </c>
      <c r="K11" s="202"/>
      <c r="L11" s="202">
        <f>G11*$O$16</f>
        <v>0</v>
      </c>
      <c r="O11" s="429"/>
    </row>
    <row r="12" spans="1:23" ht="15" customHeight="1" outlineLevel="2" x14ac:dyDescent="0.3">
      <c r="A12" s="196"/>
      <c r="B12" s="254"/>
      <c r="C12" s="197"/>
      <c r="D12" s="198"/>
      <c r="E12" s="200"/>
      <c r="F12" s="200"/>
      <c r="G12" s="201"/>
      <c r="H12" s="482"/>
      <c r="I12" s="482"/>
      <c r="J12" s="463"/>
      <c r="K12" s="202"/>
      <c r="L12" s="202"/>
      <c r="O12" s="429"/>
      <c r="R12" s="267"/>
    </row>
    <row r="13" spans="1:23" ht="18" customHeight="1" outlineLevel="1" thickBot="1" x14ac:dyDescent="0.4">
      <c r="A13" s="204">
        <v>2</v>
      </c>
      <c r="B13" s="255" t="s">
        <v>214</v>
      </c>
      <c r="C13" s="205">
        <f>C14</f>
        <v>10739.77</v>
      </c>
      <c r="D13" s="191">
        <v>8729</v>
      </c>
      <c r="E13" s="193">
        <f>E14</f>
        <v>6289.8</v>
      </c>
      <c r="F13" s="193">
        <f>F14</f>
        <v>6918.7800000000007</v>
      </c>
      <c r="G13" s="194">
        <f>D13-F13</f>
        <v>1810.2199999999993</v>
      </c>
      <c r="H13" s="193">
        <f>H14</f>
        <v>11021.04</v>
      </c>
      <c r="I13" s="193">
        <f>I14</f>
        <v>13225.248000000001</v>
      </c>
      <c r="J13" s="461">
        <f>ROUNDUP(J14,-2)</f>
        <v>13800</v>
      </c>
      <c r="K13" s="195">
        <f>J13-I13</f>
        <v>574.75199999999859</v>
      </c>
      <c r="L13" s="195">
        <f>ROUNDUP(L14,-2)</f>
        <v>20100</v>
      </c>
      <c r="O13" s="429"/>
    </row>
    <row r="14" spans="1:23" ht="15.75" customHeight="1" outlineLevel="2" thickTop="1" x14ac:dyDescent="0.3">
      <c r="A14" s="196"/>
      <c r="B14" s="254" t="s">
        <v>215</v>
      </c>
      <c r="C14" s="197">
        <v>10739.77</v>
      </c>
      <c r="D14" s="198"/>
      <c r="E14" s="199">
        <v>6289.8</v>
      </c>
      <c r="F14" s="200">
        <f>E14*1.1</f>
        <v>6918.7800000000007</v>
      </c>
      <c r="G14" s="201"/>
      <c r="H14" s="480">
        <v>11021.04</v>
      </c>
      <c r="I14" s="480">
        <f>H14*1.2</f>
        <v>13225.248000000001</v>
      </c>
      <c r="J14" s="462">
        <v>13765.7</v>
      </c>
      <c r="K14" s="206"/>
      <c r="L14" s="672">
        <f>'Emp Wages'!I92</f>
        <v>20016.13</v>
      </c>
      <c r="O14" s="429"/>
    </row>
    <row r="15" spans="1:23" ht="18" customHeight="1" outlineLevel="1" thickBot="1" x14ac:dyDescent="0.4">
      <c r="A15" s="204">
        <f>A13+1</f>
        <v>3</v>
      </c>
      <c r="B15" s="255" t="s">
        <v>44</v>
      </c>
      <c r="C15" s="205">
        <f>C16</f>
        <v>10436.219999999999</v>
      </c>
      <c r="D15" s="191">
        <v>10046</v>
      </c>
      <c r="E15" s="193">
        <f>E16</f>
        <v>6009.09</v>
      </c>
      <c r="F15" s="193">
        <f>F16</f>
        <v>8011.9196969999994</v>
      </c>
      <c r="G15" s="194">
        <f>D15-F15</f>
        <v>2034.0803030000006</v>
      </c>
      <c r="H15" s="193">
        <f>H16</f>
        <v>9018.9</v>
      </c>
      <c r="I15" s="193">
        <f>I16</f>
        <v>12828.06</v>
      </c>
      <c r="J15" s="461">
        <f>ROUNDUP(J16,-2)</f>
        <v>13800</v>
      </c>
      <c r="K15" s="195">
        <f>J15-I15</f>
        <v>971.94000000000051</v>
      </c>
      <c r="L15" s="195">
        <f>ROUNDUP(L16,-2)</f>
        <v>12900</v>
      </c>
      <c r="O15" s="429"/>
    </row>
    <row r="16" spans="1:23" ht="15.75" customHeight="1" outlineLevel="2" thickTop="1" x14ac:dyDescent="0.3">
      <c r="A16" s="196"/>
      <c r="B16" s="254" t="s">
        <v>216</v>
      </c>
      <c r="C16" s="197">
        <v>10436.219999999999</v>
      </c>
      <c r="D16" s="198"/>
      <c r="E16" s="199">
        <v>6009.09</v>
      </c>
      <c r="F16" s="200">
        <f>E16*1.3333</f>
        <v>8011.9196969999994</v>
      </c>
      <c r="G16" s="201"/>
      <c r="H16" s="480">
        <v>9018.9</v>
      </c>
      <c r="I16" s="480">
        <f>H16+(1269.72*3)</f>
        <v>12828.06</v>
      </c>
      <c r="J16" s="464">
        <v>13765.7</v>
      </c>
      <c r="K16" s="207"/>
      <c r="L16" s="207">
        <f>'Emp Wages'!I93</f>
        <v>12856.73</v>
      </c>
      <c r="O16" s="430"/>
    </row>
    <row r="17" spans="1:21" ht="18" customHeight="1" outlineLevel="1" thickBot="1" x14ac:dyDescent="0.4">
      <c r="A17" s="204">
        <f>A15+1</f>
        <v>4</v>
      </c>
      <c r="B17" s="255" t="s">
        <v>217</v>
      </c>
      <c r="C17" s="205">
        <f>C20+C18</f>
        <v>23688.55</v>
      </c>
      <c r="D17" s="191">
        <v>30000</v>
      </c>
      <c r="E17" s="193">
        <f>E20+E18</f>
        <v>47350.18</v>
      </c>
      <c r="F17" s="193">
        <f>F20+F18</f>
        <v>47350.18</v>
      </c>
      <c r="G17" s="194">
        <f>D17-F17</f>
        <v>-17350.18</v>
      </c>
      <c r="H17" s="193">
        <f>H19+H18</f>
        <v>35360.36</v>
      </c>
      <c r="I17" s="193">
        <f>I19+I18</f>
        <v>42432.432000000001</v>
      </c>
      <c r="J17" s="608">
        <f>ROUNDUP(SUM(J18:J20),-2)</f>
        <v>61200</v>
      </c>
      <c r="K17" s="195">
        <f>J17-I17</f>
        <v>18767.567999999999</v>
      </c>
      <c r="L17" s="195">
        <f>ROUNDUP(SUM(L18:L20),-2)</f>
        <v>50500</v>
      </c>
      <c r="O17" s="429"/>
    </row>
    <row r="18" spans="1:21" ht="15.75" customHeight="1" outlineLevel="2" thickTop="1" x14ac:dyDescent="0.3">
      <c r="A18" s="196"/>
      <c r="B18" s="254" t="s">
        <v>218</v>
      </c>
      <c r="C18" s="197">
        <v>23688.55</v>
      </c>
      <c r="D18" s="198"/>
      <c r="E18" s="199">
        <v>47350.18</v>
      </c>
      <c r="F18" s="200">
        <v>47350.18</v>
      </c>
      <c r="G18" s="201"/>
      <c r="H18" s="480">
        <v>35360.36</v>
      </c>
      <c r="I18" s="480">
        <f>H18*1.2</f>
        <v>42432.432000000001</v>
      </c>
      <c r="J18" s="463">
        <v>60000</v>
      </c>
      <c r="K18" s="202"/>
      <c r="L18" s="202">
        <f>'Emp Wages'!I95</f>
        <v>48732.909999999996</v>
      </c>
      <c r="N18" s="5"/>
      <c r="O18" s="429"/>
    </row>
    <row r="19" spans="1:21" ht="15.75" customHeight="1" outlineLevel="2" x14ac:dyDescent="0.3">
      <c r="A19" s="196"/>
      <c r="B19" s="254" t="s">
        <v>219</v>
      </c>
      <c r="C19" s="197">
        <v>0</v>
      </c>
      <c r="D19" s="198"/>
      <c r="E19" s="199">
        <v>0</v>
      </c>
      <c r="F19" s="200">
        <v>0</v>
      </c>
      <c r="G19" s="201"/>
      <c r="H19" s="411">
        <v>0</v>
      </c>
      <c r="I19" s="411">
        <v>0</v>
      </c>
      <c r="J19" s="463">
        <v>0</v>
      </c>
      <c r="K19" s="202"/>
      <c r="L19" s="202">
        <v>0</v>
      </c>
      <c r="O19" s="429"/>
    </row>
    <row r="20" spans="1:21" ht="15.75" customHeight="1" outlineLevel="2" x14ac:dyDescent="0.3">
      <c r="A20" s="196"/>
      <c r="B20" s="268" t="s">
        <v>220</v>
      </c>
      <c r="C20" s="197">
        <v>0</v>
      </c>
      <c r="D20" s="198"/>
      <c r="E20" s="199">
        <v>0</v>
      </c>
      <c r="F20" s="200">
        <v>0</v>
      </c>
      <c r="G20" s="201"/>
      <c r="H20" s="480">
        <v>1116.48</v>
      </c>
      <c r="I20" s="480">
        <f>H20*1.2</f>
        <v>1339.7760000000001</v>
      </c>
      <c r="J20" s="463">
        <v>1200</v>
      </c>
      <c r="K20" s="202"/>
      <c r="L20" s="233">
        <f>'Emp Wages'!I96</f>
        <v>1720.7600000000002</v>
      </c>
      <c r="O20" s="431"/>
      <c r="R20" s="613"/>
      <c r="S20" s="613"/>
    </row>
    <row r="21" spans="1:21" ht="18" customHeight="1" outlineLevel="1" thickBot="1" x14ac:dyDescent="0.4">
      <c r="A21" s="204">
        <f>A17+1</f>
        <v>5</v>
      </c>
      <c r="B21" s="255" t="s">
        <v>221</v>
      </c>
      <c r="C21" s="205">
        <f>SUM(C22:C22)</f>
        <v>0</v>
      </c>
      <c r="D21" s="191">
        <v>9693</v>
      </c>
      <c r="E21" s="193">
        <f>SUM(E22:E22)</f>
        <v>0</v>
      </c>
      <c r="F21" s="193">
        <f>SUM(F22:F22)</f>
        <v>0</v>
      </c>
      <c r="G21" s="194">
        <f>D21-F21</f>
        <v>9693</v>
      </c>
      <c r="H21" s="193">
        <f>SUM(H22:H22)</f>
        <v>9604.4699999999993</v>
      </c>
      <c r="I21" s="193">
        <f>SUM(I22:I22)</f>
        <v>9604.4699999999993</v>
      </c>
      <c r="J21" s="465">
        <f>ROUNDUP(SUM(J22:J22),-2)</f>
        <v>11700</v>
      </c>
      <c r="K21" s="195">
        <f>J21-I21</f>
        <v>2095.5300000000007</v>
      </c>
      <c r="L21" s="195">
        <f>ROUND(SUM(L22:L22),-2)</f>
        <v>11800</v>
      </c>
      <c r="O21" s="89"/>
      <c r="R21" s="613"/>
      <c r="S21" s="613"/>
      <c r="T21" s="455"/>
      <c r="U21" s="69"/>
    </row>
    <row r="22" spans="1:21" ht="15.75" customHeight="1" outlineLevel="2" thickTop="1" x14ac:dyDescent="0.3">
      <c r="A22" s="196"/>
      <c r="B22" s="254" t="s">
        <v>222</v>
      </c>
      <c r="C22" s="197">
        <v>0</v>
      </c>
      <c r="D22" s="198"/>
      <c r="E22" s="200">
        <v>0</v>
      </c>
      <c r="F22" s="200">
        <v>0</v>
      </c>
      <c r="G22" s="201"/>
      <c r="H22" s="480">
        <v>9604.4699999999993</v>
      </c>
      <c r="I22" s="480">
        <f>H22</f>
        <v>9604.4699999999993</v>
      </c>
      <c r="J22" s="462">
        <v>11700</v>
      </c>
      <c r="K22" s="202"/>
      <c r="L22" s="202">
        <f>18500*0.64</f>
        <v>11840</v>
      </c>
      <c r="O22" s="637"/>
      <c r="R22" s="613"/>
      <c r="S22" s="613"/>
    </row>
    <row r="23" spans="1:21" ht="18" customHeight="1" outlineLevel="1" thickBot="1" x14ac:dyDescent="0.4">
      <c r="A23" s="204">
        <f>A21+1</f>
        <v>6</v>
      </c>
      <c r="B23" s="255" t="s">
        <v>223</v>
      </c>
      <c r="C23" s="205">
        <f>C24</f>
        <v>5484.49</v>
      </c>
      <c r="D23" s="191">
        <v>3987</v>
      </c>
      <c r="E23" s="208">
        <f>E24</f>
        <v>5832.6431999999995</v>
      </c>
      <c r="F23" s="193">
        <f>F24</f>
        <v>7757.4154559999997</v>
      </c>
      <c r="G23" s="194">
        <f>D23-F23</f>
        <v>-3770.4154559999997</v>
      </c>
      <c r="H23" s="193">
        <f>H24</f>
        <v>8702.23</v>
      </c>
      <c r="I23" s="487">
        <f>I24</f>
        <v>8702.23</v>
      </c>
      <c r="J23" s="461">
        <f>J24</f>
        <v>6000</v>
      </c>
      <c r="K23" s="195">
        <f>J23-I23</f>
        <v>-2702.2299999999996</v>
      </c>
      <c r="L23" s="195">
        <f>L24</f>
        <v>7460</v>
      </c>
      <c r="N23" s="1"/>
      <c r="O23" s="638"/>
    </row>
    <row r="24" spans="1:21" ht="15.75" customHeight="1" outlineLevel="2" thickTop="1" x14ac:dyDescent="0.3">
      <c r="A24" s="196"/>
      <c r="B24" s="254" t="s">
        <v>224</v>
      </c>
      <c r="C24" s="197">
        <v>5484.49</v>
      </c>
      <c r="D24" s="198"/>
      <c r="E24" s="200">
        <f>18227.01*0.32</f>
        <v>5832.6431999999995</v>
      </c>
      <c r="F24" s="200">
        <f>+E24*1.33</f>
        <v>7757.4154559999997</v>
      </c>
      <c r="G24" s="201"/>
      <c r="H24" s="480">
        <v>8702.23</v>
      </c>
      <c r="I24" s="480">
        <f>H24</f>
        <v>8702.23</v>
      </c>
      <c r="J24" s="462">
        <v>6000</v>
      </c>
      <c r="K24" s="202"/>
      <c r="L24" s="202">
        <f>(12000/2)+(1000/2)+(1500*0.64)</f>
        <v>7460</v>
      </c>
      <c r="O24" s="90"/>
    </row>
    <row r="25" spans="1:21" ht="18" customHeight="1" outlineLevel="1" thickBot="1" x14ac:dyDescent="0.4">
      <c r="A25" s="204">
        <f>A23+1</f>
        <v>7</v>
      </c>
      <c r="B25" s="255" t="s">
        <v>225</v>
      </c>
      <c r="C25" s="205">
        <f>SUM(C26:C26)</f>
        <v>0</v>
      </c>
      <c r="D25" s="191">
        <v>3500</v>
      </c>
      <c r="E25" s="208">
        <f>SUM(E26:E26)</f>
        <v>0</v>
      </c>
      <c r="F25" s="193" t="e">
        <f>#REF!</f>
        <v>#REF!</v>
      </c>
      <c r="G25" s="194" t="e">
        <f>D25-F25</f>
        <v>#REF!</v>
      </c>
      <c r="H25" s="193">
        <f t="shared" ref="H25:I25" si="4">H26</f>
        <v>6507.12</v>
      </c>
      <c r="I25" s="193">
        <f t="shared" si="4"/>
        <v>6507.12</v>
      </c>
      <c r="J25" s="608">
        <f>J26</f>
        <v>6500</v>
      </c>
      <c r="K25" s="608">
        <f t="shared" ref="K25:L25" si="5">K26</f>
        <v>0</v>
      </c>
      <c r="L25" s="195">
        <f t="shared" si="5"/>
        <v>5154</v>
      </c>
      <c r="O25" s="90"/>
    </row>
    <row r="26" spans="1:21" ht="15.75" customHeight="1" outlineLevel="2" thickTop="1" x14ac:dyDescent="0.3">
      <c r="A26" s="196"/>
      <c r="B26" s="254" t="s">
        <v>226</v>
      </c>
      <c r="C26" s="197">
        <v>0</v>
      </c>
      <c r="D26" s="198"/>
      <c r="E26" s="200">
        <v>0</v>
      </c>
      <c r="F26" s="200">
        <v>0</v>
      </c>
      <c r="G26" s="201"/>
      <c r="H26" s="480">
        <v>6507.12</v>
      </c>
      <c r="I26" s="480">
        <f>H26</f>
        <v>6507.12</v>
      </c>
      <c r="J26" s="462">
        <v>6500</v>
      </c>
      <c r="K26" s="202"/>
      <c r="L26" s="202">
        <f>(8900/2)+(1100*0.64)</f>
        <v>5154</v>
      </c>
      <c r="O26" s="336"/>
    </row>
    <row r="27" spans="1:21" ht="18" customHeight="1" outlineLevel="1" thickBot="1" x14ac:dyDescent="0.4">
      <c r="A27" s="204">
        <f>A25+1</f>
        <v>8</v>
      </c>
      <c r="B27" s="255" t="s">
        <v>227</v>
      </c>
      <c r="C27" s="205">
        <f>C28</f>
        <v>14533.02</v>
      </c>
      <c r="D27" s="191">
        <v>14672</v>
      </c>
      <c r="E27" s="193">
        <f>E28</f>
        <v>13969.08</v>
      </c>
      <c r="F27" s="193">
        <f>F28</f>
        <v>13969.08</v>
      </c>
      <c r="G27" s="194">
        <f>D27-F27</f>
        <v>702.92000000000007</v>
      </c>
      <c r="H27" s="193">
        <f>H28</f>
        <v>1479</v>
      </c>
      <c r="I27" s="193">
        <f>I28</f>
        <v>8440</v>
      </c>
      <c r="J27" s="461">
        <f>J28</f>
        <v>8200</v>
      </c>
      <c r="K27" s="195">
        <f>J27-I27</f>
        <v>-240</v>
      </c>
      <c r="L27" s="195">
        <f>L28</f>
        <v>8750</v>
      </c>
      <c r="O27" s="90"/>
    </row>
    <row r="28" spans="1:21" ht="15.75" customHeight="1" outlineLevel="2" thickTop="1" x14ac:dyDescent="0.3">
      <c r="A28" s="196"/>
      <c r="B28" s="254" t="s">
        <v>228</v>
      </c>
      <c r="C28" s="197">
        <v>14533.02</v>
      </c>
      <c r="D28" s="198"/>
      <c r="E28" s="199">
        <v>13969.08</v>
      </c>
      <c r="F28" s="200">
        <f>E28</f>
        <v>13969.08</v>
      </c>
      <c r="G28" s="201"/>
      <c r="H28" s="480">
        <v>1479</v>
      </c>
      <c r="I28" s="480">
        <v>8440</v>
      </c>
      <c r="J28" s="462">
        <v>8200</v>
      </c>
      <c r="K28" s="202"/>
      <c r="L28" s="202">
        <f>(17500/2)</f>
        <v>8750</v>
      </c>
      <c r="O28" s="90"/>
    </row>
    <row r="29" spans="1:21" ht="18" customHeight="1" outlineLevel="1" thickBot="1" x14ac:dyDescent="0.4">
      <c r="A29" s="204">
        <f>A27+1</f>
        <v>9</v>
      </c>
      <c r="B29" s="255" t="s">
        <v>229</v>
      </c>
      <c r="C29" s="205">
        <f>SUM(C30:C38)</f>
        <v>8640.66</v>
      </c>
      <c r="D29" s="191">
        <v>66000</v>
      </c>
      <c r="E29" s="193">
        <f>SUM(E30:E38)</f>
        <v>80100</v>
      </c>
      <c r="F29" s="193">
        <f>SUM(F30:F38)</f>
        <v>54666.666530000002</v>
      </c>
      <c r="G29" s="194">
        <f>D29-F29</f>
        <v>11333.333469999998</v>
      </c>
      <c r="H29" s="193">
        <f>SUM(H30:H38)</f>
        <v>33859.919999999998</v>
      </c>
      <c r="I29" s="193">
        <f>SUM(I30:I38)</f>
        <v>40169.953999999991</v>
      </c>
      <c r="J29" s="461">
        <f>SUM(J30:J38)</f>
        <v>118600</v>
      </c>
      <c r="K29" s="195">
        <f>J29-I29</f>
        <v>78430.046000000002</v>
      </c>
      <c r="L29" s="195">
        <f>SUM(L30:L38)</f>
        <v>84250</v>
      </c>
      <c r="O29" s="90"/>
    </row>
    <row r="30" spans="1:21" ht="15.75" customHeight="1" outlineLevel="2" thickTop="1" x14ac:dyDescent="0.3">
      <c r="A30" s="196"/>
      <c r="B30" s="415" t="s">
        <v>230</v>
      </c>
      <c r="C30" s="411">
        <v>1324.48</v>
      </c>
      <c r="D30" s="411">
        <v>16998.810000000001</v>
      </c>
      <c r="E30" s="412">
        <v>41000</v>
      </c>
      <c r="F30" s="200">
        <f>E30*1.33333333-300</f>
        <v>54366.666530000002</v>
      </c>
      <c r="G30" s="201"/>
      <c r="H30" s="480">
        <v>23119.8</v>
      </c>
      <c r="I30" s="480">
        <f>H30*1.2</f>
        <v>27743.759999999998</v>
      </c>
      <c r="J30" s="462">
        <v>30000</v>
      </c>
      <c r="K30" s="202"/>
      <c r="L30" s="202">
        <v>30000</v>
      </c>
      <c r="O30" s="90"/>
    </row>
    <row r="31" spans="1:21" ht="15.75" customHeight="1" outlineLevel="2" x14ac:dyDescent="0.3">
      <c r="A31" s="196"/>
      <c r="B31" s="415" t="s">
        <v>231</v>
      </c>
      <c r="C31" s="411">
        <v>407.88</v>
      </c>
      <c r="D31" s="411">
        <v>4182.28</v>
      </c>
      <c r="E31" s="412">
        <v>4500</v>
      </c>
      <c r="F31" s="200"/>
      <c r="G31" s="201"/>
      <c r="H31" s="480">
        <v>3744.36</v>
      </c>
      <c r="I31" s="480">
        <f t="shared" ref="I31:I38" si="6">H31*1.2</f>
        <v>4493.232</v>
      </c>
      <c r="J31" s="462">
        <v>5000</v>
      </c>
      <c r="K31" s="202">
        <v>0</v>
      </c>
      <c r="L31" s="202">
        <v>5000</v>
      </c>
      <c r="O31" s="90"/>
    </row>
    <row r="32" spans="1:21" ht="15" customHeight="1" outlineLevel="2" x14ac:dyDescent="0.3">
      <c r="A32" s="196"/>
      <c r="B32" s="415" t="s">
        <v>232</v>
      </c>
      <c r="C32" s="414" t="s">
        <v>233</v>
      </c>
      <c r="D32" s="414" t="s">
        <v>233</v>
      </c>
      <c r="E32" s="413" t="s">
        <v>233</v>
      </c>
      <c r="F32" s="200">
        <v>0</v>
      </c>
      <c r="G32" s="201"/>
      <c r="H32" s="480">
        <v>0</v>
      </c>
      <c r="I32" s="480">
        <f t="shared" si="6"/>
        <v>0</v>
      </c>
      <c r="J32" s="462">
        <v>0</v>
      </c>
      <c r="K32" s="202"/>
      <c r="L32" s="202">
        <v>0</v>
      </c>
      <c r="O32" s="90"/>
    </row>
    <row r="33" spans="1:15" ht="15" customHeight="1" outlineLevel="2" x14ac:dyDescent="0.3">
      <c r="A33" s="196"/>
      <c r="B33" s="415" t="s">
        <v>234</v>
      </c>
      <c r="C33" s="411">
        <v>1435</v>
      </c>
      <c r="D33" s="411">
        <v>1435</v>
      </c>
      <c r="E33" s="412">
        <v>2400</v>
      </c>
      <c r="F33" s="200">
        <v>0</v>
      </c>
      <c r="G33" s="201"/>
      <c r="H33" s="480">
        <v>2731.27</v>
      </c>
      <c r="I33" s="480">
        <f>H33</f>
        <v>2731.27</v>
      </c>
      <c r="J33" s="462">
        <v>3400</v>
      </c>
      <c r="K33" s="202"/>
      <c r="L33" s="202">
        <v>4000</v>
      </c>
      <c r="O33" s="89"/>
    </row>
    <row r="34" spans="1:15" ht="15" customHeight="1" outlineLevel="2" x14ac:dyDescent="0.3">
      <c r="A34" s="196"/>
      <c r="B34" s="415" t="s">
        <v>235</v>
      </c>
      <c r="C34" s="411">
        <v>166.05</v>
      </c>
      <c r="D34" s="411">
        <v>156.94</v>
      </c>
      <c r="E34" s="412">
        <v>200</v>
      </c>
      <c r="F34" s="200">
        <v>0</v>
      </c>
      <c r="G34" s="201"/>
      <c r="H34" s="480">
        <v>195.78</v>
      </c>
      <c r="I34" s="480">
        <v>319.24</v>
      </c>
      <c r="J34" s="462">
        <v>200</v>
      </c>
      <c r="K34" s="202"/>
      <c r="L34" s="202">
        <v>250</v>
      </c>
      <c r="O34" s="89"/>
    </row>
    <row r="35" spans="1:15" ht="15" customHeight="1" outlineLevel="2" x14ac:dyDescent="0.3">
      <c r="A35" s="196"/>
      <c r="B35" s="415" t="s">
        <v>236</v>
      </c>
      <c r="C35" s="411">
        <v>161.81</v>
      </c>
      <c r="D35" s="411">
        <v>4092.49</v>
      </c>
      <c r="E35" s="412">
        <v>30000</v>
      </c>
      <c r="F35" s="200">
        <v>300</v>
      </c>
      <c r="G35" s="201"/>
      <c r="H35" s="480">
        <v>0</v>
      </c>
      <c r="I35" s="480">
        <f t="shared" si="6"/>
        <v>0</v>
      </c>
      <c r="J35" s="462">
        <v>65000</v>
      </c>
      <c r="K35" s="202"/>
      <c r="L35" s="202">
        <v>30000</v>
      </c>
      <c r="O35" s="89"/>
    </row>
    <row r="36" spans="1:15" ht="15" customHeight="1" outlineLevel="2" x14ac:dyDescent="0.3">
      <c r="A36" s="196"/>
      <c r="B36" s="415" t="s">
        <v>237</v>
      </c>
      <c r="C36" s="414" t="s">
        <v>233</v>
      </c>
      <c r="D36" s="414" t="s">
        <v>233</v>
      </c>
      <c r="E36" s="413" t="s">
        <v>233</v>
      </c>
      <c r="F36" s="200">
        <v>0</v>
      </c>
      <c r="G36" s="201"/>
      <c r="H36" s="480">
        <v>0</v>
      </c>
      <c r="I36" s="480">
        <f t="shared" si="6"/>
        <v>0</v>
      </c>
      <c r="J36" s="462">
        <v>0</v>
      </c>
      <c r="K36" s="202"/>
      <c r="L36" s="202">
        <v>0</v>
      </c>
      <c r="O36" s="89"/>
    </row>
    <row r="37" spans="1:15" ht="15" customHeight="1" outlineLevel="2" x14ac:dyDescent="0.3">
      <c r="A37" s="196"/>
      <c r="B37" s="415" t="s">
        <v>238</v>
      </c>
      <c r="C37" s="414"/>
      <c r="D37" s="411">
        <v>1492.93</v>
      </c>
      <c r="E37" s="412">
        <v>2000</v>
      </c>
      <c r="F37" s="200">
        <v>0</v>
      </c>
      <c r="G37" s="201"/>
      <c r="H37" s="480">
        <v>4068.71</v>
      </c>
      <c r="I37" s="480">
        <f t="shared" si="6"/>
        <v>4882.4520000000002</v>
      </c>
      <c r="J37" s="462">
        <v>15000</v>
      </c>
      <c r="K37" s="202"/>
      <c r="L37" s="202">
        <v>15000</v>
      </c>
      <c r="O37" s="89"/>
    </row>
    <row r="38" spans="1:15" ht="15" customHeight="1" outlineLevel="2" x14ac:dyDescent="0.3">
      <c r="A38" s="196"/>
      <c r="B38" s="254" t="s">
        <v>239</v>
      </c>
      <c r="C38" s="197">
        <v>5145.4399999999996</v>
      </c>
      <c r="D38" s="209"/>
      <c r="E38" s="199"/>
      <c r="F38" s="200"/>
      <c r="G38" s="201"/>
      <c r="H38" s="200"/>
      <c r="I38" s="411">
        <f t="shared" si="6"/>
        <v>0</v>
      </c>
      <c r="J38" s="463"/>
      <c r="K38" s="202"/>
      <c r="L38" s="202"/>
      <c r="O38" s="91"/>
    </row>
    <row r="39" spans="1:15" ht="18" customHeight="1" outlineLevel="1" thickBot="1" x14ac:dyDescent="0.4">
      <c r="A39" s="204">
        <f>A29+1</f>
        <v>10</v>
      </c>
      <c r="B39" s="255" t="s">
        <v>240</v>
      </c>
      <c r="C39" s="205">
        <f>C85+C41+C40</f>
        <v>33796.639999999999</v>
      </c>
      <c r="D39" s="191">
        <v>25000</v>
      </c>
      <c r="E39" s="193">
        <f>E85+E41+E40</f>
        <v>28462.17</v>
      </c>
      <c r="F39" s="193">
        <f>F85+F41+F40</f>
        <v>37949.559051261</v>
      </c>
      <c r="G39" s="194">
        <f>D39-F39</f>
        <v>-12949.559051261</v>
      </c>
      <c r="H39" s="193">
        <f>H85+H41+H40</f>
        <v>16731.099999999999</v>
      </c>
      <c r="I39" s="193">
        <f>I85+I41+I40</f>
        <v>18404.21</v>
      </c>
      <c r="J39" s="461">
        <f>SUM(J40:J41)</f>
        <v>28000</v>
      </c>
      <c r="K39" s="195">
        <f>J39-I39</f>
        <v>9595.7900000000009</v>
      </c>
      <c r="L39" s="195">
        <f>SUM(L40:L41)</f>
        <v>28000</v>
      </c>
      <c r="O39" s="91"/>
    </row>
    <row r="40" spans="1:15" ht="15.75" customHeight="1" outlineLevel="2" thickTop="1" x14ac:dyDescent="0.3">
      <c r="A40" s="196"/>
      <c r="B40" s="254" t="s">
        <v>241</v>
      </c>
      <c r="C40" s="197">
        <v>33414.14</v>
      </c>
      <c r="D40" s="198"/>
      <c r="E40" s="199">
        <v>28462.17</v>
      </c>
      <c r="F40" s="200">
        <f>E40*1.3333333</f>
        <v>37949.559051261</v>
      </c>
      <c r="G40" s="201"/>
      <c r="H40" s="480">
        <v>16731.099999999999</v>
      </c>
      <c r="I40" s="480">
        <f>H40*1.1</f>
        <v>18404.21</v>
      </c>
      <c r="J40" s="462">
        <v>28000</v>
      </c>
      <c r="K40" s="202"/>
      <c r="L40" s="202">
        <v>28000</v>
      </c>
      <c r="O40" s="91"/>
    </row>
    <row r="41" spans="1:15" ht="15" customHeight="1" outlineLevel="2" x14ac:dyDescent="0.3">
      <c r="A41" s="196"/>
      <c r="B41" s="254" t="s">
        <v>242</v>
      </c>
      <c r="C41" s="197">
        <v>382.5</v>
      </c>
      <c r="D41" s="198"/>
      <c r="E41" s="199">
        <v>0</v>
      </c>
      <c r="F41" s="200">
        <v>0</v>
      </c>
      <c r="G41" s="201"/>
      <c r="H41" s="200">
        <v>0</v>
      </c>
      <c r="I41" s="200">
        <v>0</v>
      </c>
      <c r="J41" s="463">
        <v>0</v>
      </c>
      <c r="K41" s="202"/>
      <c r="L41" s="202">
        <v>0</v>
      </c>
      <c r="O41" s="6"/>
    </row>
    <row r="42" spans="1:15" ht="18" customHeight="1" outlineLevel="1" thickBot="1" x14ac:dyDescent="0.4">
      <c r="A42" s="204">
        <v>11</v>
      </c>
      <c r="B42" s="255" t="s">
        <v>243</v>
      </c>
      <c r="C42" s="205">
        <f>C43</f>
        <v>1919</v>
      </c>
      <c r="D42" s="191">
        <v>5000</v>
      </c>
      <c r="E42" s="193">
        <f>E43</f>
        <v>3931.75</v>
      </c>
      <c r="F42" s="193">
        <f>F43</f>
        <v>5242.3202274999994</v>
      </c>
      <c r="G42" s="194">
        <f>D42-F42</f>
        <v>-242.32022749999942</v>
      </c>
      <c r="H42" s="193">
        <f>H43</f>
        <v>12663.5</v>
      </c>
      <c r="I42" s="193">
        <f>I43</f>
        <v>15196.199999999999</v>
      </c>
      <c r="J42" s="461">
        <f>J43</f>
        <v>5000</v>
      </c>
      <c r="K42" s="195">
        <f>J42-I42</f>
        <v>-10196.199999999999</v>
      </c>
      <c r="L42" s="195">
        <f>L43</f>
        <v>20000</v>
      </c>
      <c r="O42" s="91"/>
    </row>
    <row r="43" spans="1:15" ht="15.75" customHeight="1" outlineLevel="2" thickTop="1" x14ac:dyDescent="0.3">
      <c r="A43" s="196"/>
      <c r="B43" s="254" t="s">
        <v>244</v>
      </c>
      <c r="C43" s="197">
        <v>1919</v>
      </c>
      <c r="D43" s="198"/>
      <c r="E43" s="199">
        <v>3931.75</v>
      </c>
      <c r="F43" s="200">
        <f>E43*1.33333</f>
        <v>5242.3202274999994</v>
      </c>
      <c r="G43" s="201"/>
      <c r="H43" s="480">
        <v>12663.5</v>
      </c>
      <c r="I43" s="480">
        <f t="shared" ref="I43" si="7">H43*1.2</f>
        <v>15196.199999999999</v>
      </c>
      <c r="J43" s="462">
        <v>5000</v>
      </c>
      <c r="K43" s="202"/>
      <c r="L43" s="202">
        <v>20000</v>
      </c>
      <c r="O43" s="6"/>
    </row>
    <row r="44" spans="1:15" ht="18" customHeight="1" outlineLevel="1" thickBot="1" x14ac:dyDescent="0.4">
      <c r="A44" s="204">
        <v>12</v>
      </c>
      <c r="B44" s="255" t="s">
        <v>245</v>
      </c>
      <c r="C44" s="205">
        <f>C45</f>
        <v>15308.38</v>
      </c>
      <c r="D44" s="191">
        <v>13500</v>
      </c>
      <c r="E44" s="193">
        <f>E45</f>
        <v>5992.13</v>
      </c>
      <c r="F44" s="193">
        <f>F45</f>
        <v>7989.4866929</v>
      </c>
      <c r="G44" s="194">
        <f>D44-F44</f>
        <v>5510.5133071</v>
      </c>
      <c r="H44" s="193">
        <f>H45</f>
        <v>5746.64</v>
      </c>
      <c r="I44" s="193">
        <f>I45</f>
        <v>6895.9679999999998</v>
      </c>
      <c r="J44" s="461">
        <f>J45</f>
        <v>20000</v>
      </c>
      <c r="K44" s="195">
        <f>J44-I44</f>
        <v>13104.031999999999</v>
      </c>
      <c r="L44" s="195">
        <f>L45</f>
        <v>10000</v>
      </c>
      <c r="O44" s="6"/>
    </row>
    <row r="45" spans="1:15" ht="15.75" customHeight="1" outlineLevel="2" thickTop="1" x14ac:dyDescent="0.3">
      <c r="A45" s="196"/>
      <c r="B45" s="254" t="s">
        <v>246</v>
      </c>
      <c r="C45" s="197">
        <v>15308.38</v>
      </c>
      <c r="D45" s="198"/>
      <c r="E45" s="199">
        <v>5992.13</v>
      </c>
      <c r="F45" s="200">
        <f>E45*1.33333</f>
        <v>7989.4866929</v>
      </c>
      <c r="G45" s="201"/>
      <c r="H45" s="480">
        <v>5746.64</v>
      </c>
      <c r="I45" s="480">
        <f t="shared" ref="I45" si="8">H45*1.2</f>
        <v>6895.9679999999998</v>
      </c>
      <c r="J45" s="462">
        <v>20000</v>
      </c>
      <c r="K45" s="202"/>
      <c r="L45" s="202">
        <v>10000</v>
      </c>
      <c r="O45" s="6"/>
    </row>
    <row r="46" spans="1:15" ht="18" customHeight="1" outlineLevel="1" thickBot="1" x14ac:dyDescent="0.4">
      <c r="A46" s="204">
        <v>13</v>
      </c>
      <c r="B46" s="255" t="s">
        <v>247</v>
      </c>
      <c r="C46" s="205">
        <f>C47</f>
        <v>88698</v>
      </c>
      <c r="D46" s="191">
        <v>91359</v>
      </c>
      <c r="E46" s="193">
        <f>E47</f>
        <v>69278.22</v>
      </c>
      <c r="F46" s="193">
        <f>F47</f>
        <v>92370.729072599992</v>
      </c>
      <c r="G46" s="194">
        <f>D46-F46</f>
        <v>-1011.7290725999919</v>
      </c>
      <c r="H46" s="193">
        <v>79725.740000000005</v>
      </c>
      <c r="I46" s="487">
        <f>I47</f>
        <v>107000</v>
      </c>
      <c r="J46" s="461">
        <f>J47</f>
        <v>107000</v>
      </c>
      <c r="K46" s="195">
        <f>J46-I46</f>
        <v>0</v>
      </c>
      <c r="L46" s="623">
        <f>L47</f>
        <v>117000</v>
      </c>
    </row>
    <row r="47" spans="1:15" ht="15.75" customHeight="1" outlineLevel="2" thickTop="1" x14ac:dyDescent="0.3">
      <c r="A47" s="196"/>
      <c r="B47" s="254" t="s">
        <v>248</v>
      </c>
      <c r="C47" s="197">
        <v>88698</v>
      </c>
      <c r="D47" s="198"/>
      <c r="E47" s="199">
        <v>69278.22</v>
      </c>
      <c r="F47" s="200">
        <f>E47*1.33333</f>
        <v>92370.729072599992</v>
      </c>
      <c r="G47" s="201"/>
      <c r="H47" s="480">
        <v>80375.259999999995</v>
      </c>
      <c r="I47" s="480">
        <v>107000</v>
      </c>
      <c r="J47" s="462">
        <v>107000</v>
      </c>
      <c r="K47" s="202"/>
      <c r="L47" s="233">
        <v>117000</v>
      </c>
    </row>
    <row r="48" spans="1:15" ht="18" customHeight="1" outlineLevel="1" thickBot="1" x14ac:dyDescent="0.4">
      <c r="A48" s="204">
        <v>14</v>
      </c>
      <c r="B48" s="255" t="s">
        <v>249</v>
      </c>
      <c r="C48" s="205">
        <f>C49</f>
        <v>1100</v>
      </c>
      <c r="D48" s="191">
        <v>4500</v>
      </c>
      <c r="E48" s="193">
        <f>E49</f>
        <v>1030</v>
      </c>
      <c r="F48" s="193">
        <f>F49</f>
        <v>5700</v>
      </c>
      <c r="G48" s="194">
        <f>D48-F48</f>
        <v>-1200</v>
      </c>
      <c r="H48" s="193">
        <f>H49</f>
        <v>3643.55</v>
      </c>
      <c r="I48" s="193">
        <f>I49</f>
        <v>3643.55</v>
      </c>
      <c r="J48" s="461">
        <f>J49</f>
        <v>4000</v>
      </c>
      <c r="K48" s="195">
        <f>J48-I48</f>
        <v>356.44999999999982</v>
      </c>
      <c r="L48" s="195">
        <f>L49</f>
        <v>5000</v>
      </c>
    </row>
    <row r="49" spans="1:15" ht="15.75" customHeight="1" outlineLevel="2" thickTop="1" x14ac:dyDescent="0.3">
      <c r="A49" s="196"/>
      <c r="B49" s="254" t="s">
        <v>250</v>
      </c>
      <c r="C49" s="197">
        <v>1100</v>
      </c>
      <c r="D49" s="198"/>
      <c r="E49" s="199">
        <v>1030</v>
      </c>
      <c r="F49" s="200">
        <f>E49+4670</f>
        <v>5700</v>
      </c>
      <c r="G49" s="201"/>
      <c r="H49" s="480">
        <v>3643.55</v>
      </c>
      <c r="I49" s="480">
        <f>H49</f>
        <v>3643.55</v>
      </c>
      <c r="J49" s="462">
        <v>4000</v>
      </c>
      <c r="K49" s="202"/>
      <c r="L49" s="202">
        <v>5000</v>
      </c>
    </row>
    <row r="50" spans="1:15" ht="18" customHeight="1" outlineLevel="1" thickBot="1" x14ac:dyDescent="0.4">
      <c r="A50" s="204">
        <v>15</v>
      </c>
      <c r="B50" s="255" t="s">
        <v>251</v>
      </c>
      <c r="C50" s="205">
        <f>C51</f>
        <v>9113.9500000000007</v>
      </c>
      <c r="D50" s="191">
        <v>10000</v>
      </c>
      <c r="E50" s="193">
        <f>E51</f>
        <v>7022.68</v>
      </c>
      <c r="F50" s="193">
        <f>F51</f>
        <v>9363.5733099244007</v>
      </c>
      <c r="G50" s="194">
        <f>D50-F50</f>
        <v>636.42669007559925</v>
      </c>
      <c r="H50" s="193">
        <f>H51</f>
        <v>5889.46</v>
      </c>
      <c r="I50" s="193">
        <f>I51</f>
        <v>7067.3519999999999</v>
      </c>
      <c r="J50" s="461">
        <v>6500</v>
      </c>
      <c r="K50" s="195">
        <f>J50-I50</f>
        <v>-567.35199999999986</v>
      </c>
      <c r="L50" s="195">
        <f>L51</f>
        <v>10000</v>
      </c>
    </row>
    <row r="51" spans="1:15" ht="15.75" customHeight="1" outlineLevel="2" thickTop="1" x14ac:dyDescent="0.3">
      <c r="A51" s="196"/>
      <c r="B51" s="254" t="s">
        <v>252</v>
      </c>
      <c r="C51" s="197">
        <v>9113.9500000000007</v>
      </c>
      <c r="D51" s="198"/>
      <c r="E51" s="199">
        <v>7022.68</v>
      </c>
      <c r="F51" s="200">
        <f>E51*1.33333333</f>
        <v>9363.5733099244007</v>
      </c>
      <c r="G51" s="201"/>
      <c r="H51" s="480">
        <v>5889.46</v>
      </c>
      <c r="I51" s="480">
        <f>H51*1.2</f>
        <v>7067.3519999999999</v>
      </c>
      <c r="J51" s="462">
        <v>6000</v>
      </c>
      <c r="K51" s="202"/>
      <c r="L51" s="202">
        <v>10000</v>
      </c>
      <c r="O51" s="5"/>
    </row>
    <row r="52" spans="1:15" ht="18" customHeight="1" outlineLevel="1" thickBot="1" x14ac:dyDescent="0.4">
      <c r="A52" s="204">
        <v>16</v>
      </c>
      <c r="B52" s="255" t="s">
        <v>253</v>
      </c>
      <c r="C52" s="205">
        <f>C53</f>
        <v>12797.72</v>
      </c>
      <c r="D52" s="191">
        <v>15500</v>
      </c>
      <c r="E52" s="193">
        <f>E53</f>
        <v>12883.93</v>
      </c>
      <c r="F52" s="193">
        <f>F53</f>
        <v>17178.573290386903</v>
      </c>
      <c r="G52" s="194">
        <f>D52-F52</f>
        <v>-1678.573290386903</v>
      </c>
      <c r="H52" s="193">
        <f>H53</f>
        <v>12182.8</v>
      </c>
      <c r="I52" s="193">
        <f>I53</f>
        <v>14619.359999999999</v>
      </c>
      <c r="J52" s="461">
        <v>17000</v>
      </c>
      <c r="K52" s="195">
        <f>J52-I52</f>
        <v>2380.6400000000012</v>
      </c>
      <c r="L52" s="195">
        <f>L53</f>
        <v>16000</v>
      </c>
      <c r="O52" s="5"/>
    </row>
    <row r="53" spans="1:15" ht="15.75" customHeight="1" outlineLevel="2" thickTop="1" x14ac:dyDescent="0.3">
      <c r="A53" s="196"/>
      <c r="B53" s="254" t="s">
        <v>254</v>
      </c>
      <c r="C53" s="197">
        <v>12797.72</v>
      </c>
      <c r="D53" s="198"/>
      <c r="E53" s="199">
        <v>12883.93</v>
      </c>
      <c r="F53" s="200">
        <f>E53*1.33333333</f>
        <v>17178.573290386903</v>
      </c>
      <c r="G53" s="201"/>
      <c r="H53" s="480">
        <v>12182.8</v>
      </c>
      <c r="I53" s="480">
        <f t="shared" ref="I53" si="9">H53*1.2</f>
        <v>14619.359999999999</v>
      </c>
      <c r="J53" s="462">
        <v>15000</v>
      </c>
      <c r="K53" s="202"/>
      <c r="L53" s="202">
        <v>16000</v>
      </c>
    </row>
    <row r="54" spans="1:15" ht="18" customHeight="1" outlineLevel="1" thickBot="1" x14ac:dyDescent="0.4">
      <c r="A54" s="204">
        <v>17</v>
      </c>
      <c r="B54" s="255" t="s">
        <v>255</v>
      </c>
      <c r="C54" s="205">
        <f>C55</f>
        <v>16357</v>
      </c>
      <c r="D54" s="191">
        <v>8796</v>
      </c>
      <c r="E54" s="193">
        <f>E55</f>
        <v>-533</v>
      </c>
      <c r="F54" s="193">
        <f>F55</f>
        <v>8263</v>
      </c>
      <c r="G54" s="194">
        <f>D54-F54</f>
        <v>533</v>
      </c>
      <c r="H54" s="193">
        <f>H55</f>
        <v>10874</v>
      </c>
      <c r="I54" s="193">
        <f>I55</f>
        <v>10874</v>
      </c>
      <c r="J54" s="461">
        <f>J55</f>
        <v>10500</v>
      </c>
      <c r="K54" s="195">
        <f>J54-I54</f>
        <v>-374</v>
      </c>
      <c r="L54" s="195">
        <f>L55</f>
        <v>12000</v>
      </c>
    </row>
    <row r="55" spans="1:15" ht="15.75" customHeight="1" outlineLevel="2" thickTop="1" x14ac:dyDescent="0.3">
      <c r="A55" s="196"/>
      <c r="B55" s="254" t="s">
        <v>256</v>
      </c>
      <c r="C55" s="197">
        <v>16357</v>
      </c>
      <c r="D55" s="198"/>
      <c r="E55" s="199">
        <v>-533</v>
      </c>
      <c r="F55" s="200">
        <v>8263</v>
      </c>
      <c r="G55" s="201"/>
      <c r="H55" s="480">
        <v>10874</v>
      </c>
      <c r="I55" s="480">
        <f>H55</f>
        <v>10874</v>
      </c>
      <c r="J55" s="462">
        <v>10500</v>
      </c>
      <c r="K55" s="202"/>
      <c r="L55" s="202">
        <v>12000</v>
      </c>
    </row>
    <row r="56" spans="1:15" ht="18" customHeight="1" outlineLevel="1" thickBot="1" x14ac:dyDescent="0.4">
      <c r="A56" s="204">
        <v>18</v>
      </c>
      <c r="B56" s="255" t="s">
        <v>257</v>
      </c>
      <c r="C56" s="205">
        <f>C59</f>
        <v>3133.48</v>
      </c>
      <c r="D56" s="191">
        <v>20000</v>
      </c>
      <c r="E56" s="193">
        <f>E59</f>
        <v>2208.6999999999998</v>
      </c>
      <c r="F56" s="193">
        <f>F59</f>
        <v>2944.9333259710002</v>
      </c>
      <c r="G56" s="194">
        <f>D56-F56</f>
        <v>17055.066674029</v>
      </c>
      <c r="H56" s="193">
        <f>SUM(H57:H59)</f>
        <v>5410.27</v>
      </c>
      <c r="I56" s="193">
        <f>SUM(I57:I59)</f>
        <v>1338.39</v>
      </c>
      <c r="J56" s="466">
        <f>SUM(J57:J59)</f>
        <v>10000</v>
      </c>
      <c r="K56" s="205">
        <f>J56-I56</f>
        <v>8661.61</v>
      </c>
      <c r="L56" s="687">
        <f>SUM(L57:L59)</f>
        <v>611000</v>
      </c>
    </row>
    <row r="57" spans="1:15" ht="15.75" customHeight="1" outlineLevel="1" thickTop="1" x14ac:dyDescent="0.35">
      <c r="A57" s="371"/>
      <c r="B57" s="415" t="s">
        <v>258</v>
      </c>
      <c r="C57" s="372"/>
      <c r="D57" s="373"/>
      <c r="E57" s="374"/>
      <c r="F57" s="374"/>
      <c r="G57" s="375"/>
      <c r="H57" s="480">
        <v>4071.88</v>
      </c>
      <c r="I57" s="480">
        <v>0</v>
      </c>
      <c r="J57" s="462">
        <v>9000</v>
      </c>
      <c r="K57" s="202"/>
      <c r="L57" s="202">
        <v>9000</v>
      </c>
    </row>
    <row r="58" spans="1:15" ht="15.75" customHeight="1" outlineLevel="1" x14ac:dyDescent="0.35">
      <c r="A58" s="371"/>
      <c r="B58" s="415" t="s">
        <v>489</v>
      </c>
      <c r="C58" s="372"/>
      <c r="D58" s="373"/>
      <c r="E58" s="374"/>
      <c r="F58" s="374"/>
      <c r="G58" s="375"/>
      <c r="H58" s="480"/>
      <c r="I58" s="480"/>
      <c r="J58" s="462"/>
      <c r="K58" s="202"/>
      <c r="L58" s="202">
        <v>600000</v>
      </c>
    </row>
    <row r="59" spans="1:15" ht="15.75" customHeight="1" outlineLevel="2" x14ac:dyDescent="0.3">
      <c r="A59" s="196"/>
      <c r="B59" s="415" t="s">
        <v>259</v>
      </c>
      <c r="C59" s="197">
        <v>3133.48</v>
      </c>
      <c r="D59" s="198"/>
      <c r="E59" s="199">
        <v>2208.6999999999998</v>
      </c>
      <c r="F59" s="200">
        <f>E59*1.33333333</f>
        <v>2944.9333259710002</v>
      </c>
      <c r="G59" s="201"/>
      <c r="H59" s="480">
        <v>1338.39</v>
      </c>
      <c r="I59" s="480">
        <f>H59</f>
        <v>1338.39</v>
      </c>
      <c r="J59" s="462">
        <v>1000</v>
      </c>
      <c r="K59" s="202"/>
      <c r="L59" s="202">
        <v>2000</v>
      </c>
    </row>
    <row r="60" spans="1:15" ht="18" customHeight="1" outlineLevel="1" thickBot="1" x14ac:dyDescent="0.4">
      <c r="A60" s="204">
        <v>19</v>
      </c>
      <c r="B60" s="255" t="s">
        <v>260</v>
      </c>
      <c r="C60" s="205">
        <f>C61+C63</f>
        <v>33904.32</v>
      </c>
      <c r="D60" s="191">
        <v>30000</v>
      </c>
      <c r="E60" s="205">
        <f t="shared" ref="E60:F60" si="10">E61+E63</f>
        <v>35121.620000000003</v>
      </c>
      <c r="F60" s="205">
        <f t="shared" si="10"/>
        <v>38785.448664500007</v>
      </c>
      <c r="G60" s="194">
        <f>D60-F60</f>
        <v>-8785.448664500007</v>
      </c>
      <c r="H60" s="205">
        <f t="shared" ref="H60" si="11">H61+H63</f>
        <v>17131.129999999997</v>
      </c>
      <c r="I60" s="205">
        <f t="shared" ref="I60" si="12">I61+I63</f>
        <v>20228.856</v>
      </c>
      <c r="J60" s="461">
        <f>SUM(J61:J63)</f>
        <v>28000</v>
      </c>
      <c r="K60" s="195">
        <f>J60-I60</f>
        <v>7771.1440000000002</v>
      </c>
      <c r="L60" s="195">
        <f>SUM(L61:L63)</f>
        <v>930000</v>
      </c>
    </row>
    <row r="61" spans="1:15" ht="15.75" customHeight="1" outlineLevel="2" thickTop="1" x14ac:dyDescent="0.3">
      <c r="A61" s="196"/>
      <c r="B61" s="254" t="s">
        <v>261</v>
      </c>
      <c r="C61" s="197">
        <v>33729.32</v>
      </c>
      <c r="D61" s="198"/>
      <c r="E61" s="200">
        <v>34471.620000000003</v>
      </c>
      <c r="F61" s="200">
        <f>E61*1.1-500</f>
        <v>37418.782000000007</v>
      </c>
      <c r="G61" s="201"/>
      <c r="H61" s="481">
        <v>13846.13</v>
      </c>
      <c r="I61" s="481">
        <f>H61*1.2</f>
        <v>16615.356</v>
      </c>
      <c r="J61" s="463">
        <v>20000</v>
      </c>
      <c r="K61" s="202"/>
      <c r="L61" s="202">
        <v>20000</v>
      </c>
    </row>
    <row r="62" spans="1:15" ht="15.75" customHeight="1" outlineLevel="2" x14ac:dyDescent="0.3">
      <c r="A62" s="196"/>
      <c r="B62" s="254" t="s">
        <v>490</v>
      </c>
      <c r="C62" s="197"/>
      <c r="D62" s="198"/>
      <c r="E62" s="200"/>
      <c r="F62" s="200"/>
      <c r="G62" s="201"/>
      <c r="H62" s="481"/>
      <c r="I62" s="481"/>
      <c r="J62" s="463"/>
      <c r="K62" s="202"/>
      <c r="L62" s="202">
        <v>900000</v>
      </c>
    </row>
    <row r="63" spans="1:15" ht="15" customHeight="1" outlineLevel="2" x14ac:dyDescent="0.3">
      <c r="A63" s="196"/>
      <c r="B63" s="254" t="s">
        <v>262</v>
      </c>
      <c r="C63" s="197">
        <v>175</v>
      </c>
      <c r="D63" s="198"/>
      <c r="E63" s="199">
        <v>650</v>
      </c>
      <c r="F63" s="200">
        <f>E63*1.33333333+500</f>
        <v>1366.6666645</v>
      </c>
      <c r="G63" s="201"/>
      <c r="H63" s="481">
        <v>3285</v>
      </c>
      <c r="I63" s="480">
        <f>H63*1.1</f>
        <v>3613.5000000000005</v>
      </c>
      <c r="J63" s="463">
        <v>8000</v>
      </c>
      <c r="K63" s="202"/>
      <c r="L63" s="202">
        <v>10000</v>
      </c>
    </row>
    <row r="64" spans="1:15" ht="18" customHeight="1" outlineLevel="1" thickBot="1" x14ac:dyDescent="0.4">
      <c r="A64" s="204">
        <v>20</v>
      </c>
      <c r="B64" s="255" t="s">
        <v>263</v>
      </c>
      <c r="C64" s="205">
        <f>C65</f>
        <v>1E-4</v>
      </c>
      <c r="D64" s="191">
        <v>2794</v>
      </c>
      <c r="E64" s="193">
        <f>E65</f>
        <v>1.0000000000000001E-5</v>
      </c>
      <c r="F64" s="193">
        <f>F65</f>
        <v>1.0000000000000001E-5</v>
      </c>
      <c r="G64" s="194">
        <f>D64-F64</f>
        <v>2793.9999899999998</v>
      </c>
      <c r="H64" s="193">
        <f>H65</f>
        <v>1.0000000000000001E-5</v>
      </c>
      <c r="I64" s="193">
        <f>I65</f>
        <v>1.0000000000000001E-5</v>
      </c>
      <c r="J64" s="461">
        <f>J65</f>
        <v>3900</v>
      </c>
      <c r="K64" s="195">
        <f>J64-I64</f>
        <v>3899.9999899999998</v>
      </c>
      <c r="L64" s="195">
        <f>L65</f>
        <v>0</v>
      </c>
    </row>
    <row r="65" spans="1:31" ht="15.75" customHeight="1" outlineLevel="2" thickTop="1" x14ac:dyDescent="0.3">
      <c r="A65" s="196"/>
      <c r="B65" s="254" t="s">
        <v>264</v>
      </c>
      <c r="C65" s="197">
        <v>1E-4</v>
      </c>
      <c r="D65" s="198"/>
      <c r="E65" s="199">
        <v>1.0000000000000001E-5</v>
      </c>
      <c r="F65" s="200">
        <v>1.0000000000000001E-5</v>
      </c>
      <c r="G65" s="201"/>
      <c r="H65" s="482">
        <v>1.0000000000000001E-5</v>
      </c>
      <c r="I65" s="482">
        <v>1.0000000000000001E-5</v>
      </c>
      <c r="J65" s="463">
        <v>3900</v>
      </c>
      <c r="K65" s="202"/>
      <c r="L65" s="202">
        <v>0</v>
      </c>
    </row>
    <row r="66" spans="1:31" ht="18" customHeight="1" outlineLevel="1" thickBot="1" x14ac:dyDescent="0.4">
      <c r="A66" s="204">
        <v>21</v>
      </c>
      <c r="B66" s="255" t="s">
        <v>265</v>
      </c>
      <c r="C66" s="205">
        <f>C67</f>
        <v>27776.55</v>
      </c>
      <c r="D66" s="191">
        <v>16000</v>
      </c>
      <c r="E66" s="193" t="str">
        <f>E67</f>
        <v>17889.14</v>
      </c>
      <c r="F66" s="193">
        <f>F67</f>
        <v>19678.054</v>
      </c>
      <c r="G66" s="194">
        <f>D66-F66</f>
        <v>-3678.0540000000001</v>
      </c>
      <c r="H66" s="193">
        <f>H67</f>
        <v>14632.27</v>
      </c>
      <c r="I66" s="193">
        <f>I67</f>
        <v>15000</v>
      </c>
      <c r="J66" s="461">
        <f>J67</f>
        <v>7000</v>
      </c>
      <c r="K66" s="195">
        <f>J66-I66</f>
        <v>-8000</v>
      </c>
      <c r="L66" s="195">
        <f>L67</f>
        <v>10000</v>
      </c>
    </row>
    <row r="67" spans="1:31" ht="15.75" customHeight="1" outlineLevel="2" thickTop="1" x14ac:dyDescent="0.3">
      <c r="A67" s="196"/>
      <c r="B67" s="254" t="s">
        <v>266</v>
      </c>
      <c r="C67" s="210">
        <v>27776.55</v>
      </c>
      <c r="D67" s="198"/>
      <c r="E67" s="211" t="s">
        <v>267</v>
      </c>
      <c r="F67" s="200">
        <f>E67*1.1</f>
        <v>19678.054</v>
      </c>
      <c r="G67" s="201"/>
      <c r="H67" s="483">
        <v>14632.27</v>
      </c>
      <c r="I67" s="483">
        <v>15000</v>
      </c>
      <c r="J67" s="462">
        <v>7000</v>
      </c>
      <c r="K67" s="202"/>
      <c r="L67" s="202">
        <v>10000</v>
      </c>
    </row>
    <row r="68" spans="1:31" ht="18" customHeight="1" outlineLevel="1" thickBot="1" x14ac:dyDescent="0.4">
      <c r="A68" s="204">
        <v>22</v>
      </c>
      <c r="B68" s="255" t="s">
        <v>268</v>
      </c>
      <c r="C68" s="205">
        <v>8475</v>
      </c>
      <c r="D68" s="191">
        <v>25000</v>
      </c>
      <c r="E68" s="193">
        <f>SUM(E69:E73)</f>
        <v>5197</v>
      </c>
      <c r="F68" s="193">
        <f>SUM(F69:F73)</f>
        <v>5197</v>
      </c>
      <c r="G68" s="194">
        <f>D68-F68</f>
        <v>19803</v>
      </c>
      <c r="H68" s="193">
        <f>SUM(H69:H73)</f>
        <v>25549.27</v>
      </c>
      <c r="I68" s="193">
        <f>SUM(I69:I73)</f>
        <v>26000</v>
      </c>
      <c r="J68" s="467">
        <f>SUM(J69:J73)</f>
        <v>32000</v>
      </c>
      <c r="K68" s="195">
        <f>J68-I68</f>
        <v>6000</v>
      </c>
      <c r="L68" s="212">
        <f>SUM(L69:L73)</f>
        <v>19000</v>
      </c>
    </row>
    <row r="69" spans="1:31" ht="15.75" customHeight="1" outlineLevel="2" thickTop="1" x14ac:dyDescent="0.3">
      <c r="A69" s="196"/>
      <c r="B69" s="254" t="s">
        <v>269</v>
      </c>
      <c r="C69" s="201">
        <v>8475</v>
      </c>
      <c r="D69" s="198"/>
      <c r="E69" s="199">
        <v>5197</v>
      </c>
      <c r="F69" s="200">
        <v>5197</v>
      </c>
      <c r="G69" s="201"/>
      <c r="H69" s="484">
        <v>25549.27</v>
      </c>
      <c r="I69" s="483">
        <v>26000</v>
      </c>
      <c r="J69" s="462">
        <v>28000</v>
      </c>
      <c r="K69" s="202"/>
      <c r="L69" s="202">
        <v>15000</v>
      </c>
    </row>
    <row r="70" spans="1:31" ht="15" customHeight="1" outlineLevel="2" x14ac:dyDescent="0.3">
      <c r="A70" s="196"/>
      <c r="B70" s="254" t="s">
        <v>270</v>
      </c>
      <c r="C70" s="201">
        <v>0</v>
      </c>
      <c r="D70" s="198"/>
      <c r="E70" s="199">
        <v>0</v>
      </c>
      <c r="F70" s="200">
        <v>0</v>
      </c>
      <c r="G70" s="201"/>
      <c r="H70" s="484">
        <v>0</v>
      </c>
      <c r="I70" s="483">
        <f t="shared" ref="I70:I73" si="13">H70*1.2</f>
        <v>0</v>
      </c>
      <c r="J70" s="462">
        <v>0</v>
      </c>
      <c r="K70" s="202"/>
      <c r="L70" s="202">
        <v>0</v>
      </c>
      <c r="Q70" t="s">
        <v>126</v>
      </c>
    </row>
    <row r="71" spans="1:31" ht="15" customHeight="1" outlineLevel="2" x14ac:dyDescent="0.3">
      <c r="A71" s="196"/>
      <c r="B71" s="254" t="s">
        <v>271</v>
      </c>
      <c r="C71" s="201">
        <v>0</v>
      </c>
      <c r="D71" s="198"/>
      <c r="E71" s="199">
        <v>0</v>
      </c>
      <c r="F71" s="200">
        <v>0</v>
      </c>
      <c r="G71" s="201"/>
      <c r="H71" s="484">
        <v>0</v>
      </c>
      <c r="I71" s="483">
        <f t="shared" si="13"/>
        <v>0</v>
      </c>
      <c r="J71" s="462">
        <v>1000</v>
      </c>
      <c r="K71" s="202"/>
      <c r="L71" s="202">
        <v>1000</v>
      </c>
    </row>
    <row r="72" spans="1:31" ht="15" customHeight="1" outlineLevel="2" x14ac:dyDescent="0.3">
      <c r="A72" s="196"/>
      <c r="B72" s="254" t="s">
        <v>272</v>
      </c>
      <c r="C72" s="201">
        <v>0</v>
      </c>
      <c r="D72" s="198"/>
      <c r="E72" s="199">
        <v>0</v>
      </c>
      <c r="F72" s="200">
        <v>0</v>
      </c>
      <c r="G72" s="201"/>
      <c r="H72" s="484">
        <v>0</v>
      </c>
      <c r="I72" s="483">
        <f t="shared" si="13"/>
        <v>0</v>
      </c>
      <c r="J72" s="462">
        <v>3000</v>
      </c>
      <c r="K72" s="202"/>
      <c r="L72" s="202">
        <v>3000</v>
      </c>
    </row>
    <row r="73" spans="1:31" ht="15" customHeight="1" outlineLevel="2" x14ac:dyDescent="0.3">
      <c r="A73" s="196"/>
      <c r="B73" s="254" t="s">
        <v>273</v>
      </c>
      <c r="C73" s="201">
        <v>0</v>
      </c>
      <c r="D73" s="198"/>
      <c r="E73" s="199">
        <v>0</v>
      </c>
      <c r="F73" s="200">
        <v>0</v>
      </c>
      <c r="G73" s="201"/>
      <c r="H73" s="484">
        <v>0</v>
      </c>
      <c r="I73" s="483">
        <f t="shared" si="13"/>
        <v>0</v>
      </c>
      <c r="J73" s="462">
        <v>0</v>
      </c>
      <c r="K73" s="202"/>
      <c r="L73" s="202">
        <v>0</v>
      </c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511"/>
      <c r="AB73" s="511"/>
      <c r="AC73" s="511"/>
      <c r="AD73" s="511"/>
      <c r="AE73" s="511"/>
    </row>
    <row r="74" spans="1:31" ht="18" customHeight="1" outlineLevel="1" thickBot="1" x14ac:dyDescent="0.4">
      <c r="A74" s="204">
        <v>23</v>
      </c>
      <c r="B74" s="255" t="s">
        <v>274</v>
      </c>
      <c r="C74" s="205">
        <f>C75</f>
        <v>9230</v>
      </c>
      <c r="D74" s="191">
        <v>11000</v>
      </c>
      <c r="E74" s="193">
        <f>E75</f>
        <v>7785</v>
      </c>
      <c r="F74" s="193">
        <f>F75</f>
        <v>8650</v>
      </c>
      <c r="G74" s="194">
        <f>D74-F74</f>
        <v>2350</v>
      </c>
      <c r="H74" s="193">
        <f>H75</f>
        <v>1303.75</v>
      </c>
      <c r="I74" s="193">
        <f>I75</f>
        <v>1564.5</v>
      </c>
      <c r="J74" s="461">
        <f>J75</f>
        <v>1000</v>
      </c>
      <c r="K74" s="195">
        <f>J74-I74</f>
        <v>-564.5</v>
      </c>
      <c r="L74" s="195">
        <f>L75</f>
        <v>3500</v>
      </c>
      <c r="N74" s="511"/>
      <c r="O74" s="511"/>
      <c r="P74" s="511"/>
      <c r="Q74" s="511"/>
      <c r="R74" s="511"/>
      <c r="S74" s="511"/>
      <c r="T74" s="511"/>
      <c r="U74" s="511"/>
      <c r="V74" s="511"/>
      <c r="W74" s="511"/>
      <c r="X74" s="511"/>
      <c r="Y74" s="511"/>
      <c r="Z74" s="511"/>
      <c r="AA74" s="511"/>
      <c r="AB74" s="511"/>
      <c r="AC74" s="511"/>
      <c r="AD74" s="511"/>
      <c r="AE74" s="511"/>
    </row>
    <row r="75" spans="1:31" ht="15.75" customHeight="1" outlineLevel="2" thickTop="1" x14ac:dyDescent="0.3">
      <c r="A75" s="196"/>
      <c r="B75" s="254" t="s">
        <v>275</v>
      </c>
      <c r="C75" s="201">
        <v>9230</v>
      </c>
      <c r="D75" s="198"/>
      <c r="E75" s="200">
        <v>7785</v>
      </c>
      <c r="F75" s="200">
        <f>E75+865</f>
        <v>8650</v>
      </c>
      <c r="G75" s="201"/>
      <c r="H75" s="481">
        <v>1303.75</v>
      </c>
      <c r="I75" s="480">
        <f t="shared" ref="I75" si="14">H75*1.2</f>
        <v>1564.5</v>
      </c>
      <c r="J75" s="463">
        <v>1000</v>
      </c>
      <c r="K75" s="202"/>
      <c r="L75" s="202">
        <v>3500</v>
      </c>
      <c r="N75" s="511"/>
      <c r="O75" s="511"/>
      <c r="P75" s="511"/>
      <c r="Q75" s="511"/>
      <c r="R75" s="511"/>
      <c r="S75" s="511"/>
      <c r="T75" s="511"/>
      <c r="U75" s="511"/>
      <c r="V75" s="511"/>
      <c r="W75" s="511"/>
      <c r="X75" s="511"/>
      <c r="Y75" s="511"/>
      <c r="Z75" s="511"/>
      <c r="AA75" s="511"/>
      <c r="AB75" s="511"/>
      <c r="AC75" s="511"/>
      <c r="AD75" s="511"/>
      <c r="AE75" s="511"/>
    </row>
    <row r="76" spans="1:31" ht="24" customHeight="1" outlineLevel="1" thickBot="1" x14ac:dyDescent="0.4">
      <c r="A76" s="189">
        <v>24</v>
      </c>
      <c r="B76" s="255" t="s">
        <v>276</v>
      </c>
      <c r="C76" s="205">
        <f>SUM(C77:C78)</f>
        <v>1134.24</v>
      </c>
      <c r="D76" s="191">
        <v>2500</v>
      </c>
      <c r="E76" s="193">
        <f>SUM(E77:E78)</f>
        <v>1983.52</v>
      </c>
      <c r="F76" s="193">
        <f>SUM(F77:F78)</f>
        <v>2509.6933280716003</v>
      </c>
      <c r="G76" s="194">
        <f>D76-F76</f>
        <v>-9.6933280716002628</v>
      </c>
      <c r="H76" s="193">
        <f>SUM(H77:H78)</f>
        <v>1664.32</v>
      </c>
      <c r="I76" s="193">
        <f>SUM(I77:I78)</f>
        <v>3300</v>
      </c>
      <c r="J76" s="461">
        <f>J77+J78</f>
        <v>4500</v>
      </c>
      <c r="K76" s="195">
        <f>J76-I76</f>
        <v>1200</v>
      </c>
      <c r="L76" s="195">
        <f>L77+L78</f>
        <v>5500</v>
      </c>
      <c r="M76" s="6"/>
      <c r="N76" s="511"/>
      <c r="O76" s="511"/>
      <c r="P76" s="511"/>
      <c r="Q76" s="511"/>
      <c r="R76" s="511"/>
      <c r="S76" s="511"/>
      <c r="T76" s="511"/>
      <c r="U76" s="511"/>
      <c r="V76" s="511"/>
      <c r="W76" s="511"/>
      <c r="X76" s="511"/>
      <c r="Y76" s="511"/>
      <c r="Z76" s="511"/>
      <c r="AA76" s="511"/>
      <c r="AB76" s="511"/>
      <c r="AC76" s="511"/>
      <c r="AD76" s="511"/>
      <c r="AE76" s="511"/>
    </row>
    <row r="77" spans="1:31" s="4" customFormat="1" ht="15" customHeight="1" outlineLevel="2" thickTop="1" x14ac:dyDescent="0.3">
      <c r="A77" s="196"/>
      <c r="B77" s="254" t="s">
        <v>277</v>
      </c>
      <c r="C77" s="197">
        <v>636.24</v>
      </c>
      <c r="D77" s="198"/>
      <c r="E77" s="199">
        <v>1578.52</v>
      </c>
      <c r="F77" s="200">
        <f>E77*1.33333333</f>
        <v>2104.6933280716003</v>
      </c>
      <c r="G77" s="201"/>
      <c r="H77" s="480">
        <v>1264.32</v>
      </c>
      <c r="I77" s="480">
        <v>2900</v>
      </c>
      <c r="J77" s="462">
        <v>4000</v>
      </c>
      <c r="K77" s="202"/>
      <c r="L77" s="202">
        <v>5000</v>
      </c>
      <c r="M77" s="80"/>
      <c r="N77" s="614"/>
      <c r="O77" s="511"/>
      <c r="P77" s="614"/>
      <c r="Q77" s="614"/>
      <c r="R77" s="614"/>
      <c r="S77" s="614"/>
      <c r="T77" s="614"/>
      <c r="U77" s="614"/>
      <c r="V77" s="614"/>
      <c r="W77" s="614"/>
      <c r="X77" s="614"/>
      <c r="Y77" s="614"/>
      <c r="Z77" s="614"/>
      <c r="AA77" s="614"/>
      <c r="AB77" s="614"/>
      <c r="AC77" s="614"/>
      <c r="AD77" s="614"/>
      <c r="AE77" s="614"/>
    </row>
    <row r="78" spans="1:31" ht="17.25" customHeight="1" outlineLevel="2" x14ac:dyDescent="0.3">
      <c r="A78" s="196"/>
      <c r="B78" s="254" t="s">
        <v>278</v>
      </c>
      <c r="C78" s="197">
        <v>498</v>
      </c>
      <c r="D78" s="198"/>
      <c r="E78" s="199">
        <f>854-449</f>
        <v>405</v>
      </c>
      <c r="F78" s="200">
        <v>405</v>
      </c>
      <c r="G78" s="201"/>
      <c r="H78" s="480">
        <v>400</v>
      </c>
      <c r="I78" s="480">
        <f>H78</f>
        <v>400</v>
      </c>
      <c r="J78" s="462">
        <v>500</v>
      </c>
      <c r="K78" s="202"/>
      <c r="L78" s="202">
        <v>500</v>
      </c>
      <c r="M78" s="6"/>
      <c r="N78" s="511"/>
      <c r="O78" s="511"/>
      <c r="P78" s="511"/>
      <c r="Q78" s="511"/>
      <c r="R78" s="511"/>
      <c r="S78" s="511"/>
      <c r="T78" s="511"/>
      <c r="U78" s="511"/>
      <c r="V78" s="511"/>
      <c r="W78" s="511"/>
      <c r="X78" s="511"/>
      <c r="Y78" s="511"/>
      <c r="Z78" s="511"/>
      <c r="AA78" s="511"/>
      <c r="AB78" s="511"/>
      <c r="AC78" s="511"/>
      <c r="AD78" s="511"/>
      <c r="AE78" s="511"/>
    </row>
    <row r="79" spans="1:31" ht="18" customHeight="1" outlineLevel="1" thickBot="1" x14ac:dyDescent="0.4">
      <c r="A79" s="204">
        <v>25</v>
      </c>
      <c r="B79" s="255" t="s">
        <v>279</v>
      </c>
      <c r="C79" s="205">
        <f>SUM(C80:C80)</f>
        <v>772.67</v>
      </c>
      <c r="D79" s="191">
        <v>2500</v>
      </c>
      <c r="E79" s="193">
        <f>SUM(E80:E80)</f>
        <v>0</v>
      </c>
      <c r="F79" s="193">
        <f>SUM(F80:F80)</f>
        <v>595</v>
      </c>
      <c r="G79" s="194">
        <f>D79-F79</f>
        <v>1905</v>
      </c>
      <c r="H79" s="193">
        <f>SUM(H80:H81)</f>
        <v>1096</v>
      </c>
      <c r="I79" s="193">
        <f>SUM(I80:I81)</f>
        <v>2546</v>
      </c>
      <c r="J79" s="608">
        <f>SUM(J80:J81)</f>
        <v>2100</v>
      </c>
      <c r="K79" s="195">
        <f>J79-I79</f>
        <v>-446</v>
      </c>
      <c r="L79" s="195">
        <f>SUM(L80:L81)</f>
        <v>2600</v>
      </c>
      <c r="M79" s="6"/>
      <c r="N79" s="511"/>
      <c r="O79" s="511"/>
      <c r="P79" s="511"/>
      <c r="Q79" s="511"/>
      <c r="R79" s="511"/>
      <c r="S79" s="511"/>
      <c r="T79" s="511"/>
      <c r="U79" s="511"/>
      <c r="V79" s="511"/>
      <c r="W79" s="511"/>
      <c r="X79" s="511"/>
      <c r="Y79" s="511"/>
      <c r="Z79" s="511"/>
      <c r="AA79" s="511"/>
      <c r="AB79" s="511"/>
      <c r="AC79" s="511"/>
      <c r="AD79" s="511"/>
      <c r="AE79" s="511"/>
    </row>
    <row r="80" spans="1:31" ht="15.75" customHeight="1" outlineLevel="2" thickTop="1" x14ac:dyDescent="0.3">
      <c r="A80" s="196"/>
      <c r="B80" s="254" t="s">
        <v>280</v>
      </c>
      <c r="C80" s="197">
        <v>772.67</v>
      </c>
      <c r="D80" s="198"/>
      <c r="E80" s="199">
        <v>0</v>
      </c>
      <c r="F80" s="200">
        <v>595</v>
      </c>
      <c r="G80" s="201"/>
      <c r="H80" s="480">
        <v>550</v>
      </c>
      <c r="I80" s="480">
        <v>1500</v>
      </c>
      <c r="J80" s="462">
        <v>1000</v>
      </c>
      <c r="K80" s="202"/>
      <c r="L80" s="202">
        <v>1500</v>
      </c>
      <c r="M80" s="6"/>
      <c r="N80" s="511"/>
      <c r="O80" s="511"/>
      <c r="P80" s="511"/>
      <c r="Q80" s="511"/>
      <c r="R80" s="511"/>
      <c r="S80" s="511"/>
      <c r="T80" s="511"/>
      <c r="U80" s="511"/>
      <c r="V80" s="511"/>
      <c r="W80" s="511"/>
      <c r="X80" s="511"/>
      <c r="Y80" s="511"/>
      <c r="Z80" s="511"/>
      <c r="AA80" s="511"/>
      <c r="AB80" s="511"/>
      <c r="AC80" s="511"/>
      <c r="AD80" s="511"/>
      <c r="AE80" s="511"/>
    </row>
    <row r="81" spans="1:31" ht="15" customHeight="1" outlineLevel="2" x14ac:dyDescent="0.3">
      <c r="A81" s="196"/>
      <c r="B81" s="415" t="s">
        <v>281</v>
      </c>
      <c r="C81" s="414"/>
      <c r="D81" s="411"/>
      <c r="E81" s="485"/>
      <c r="F81" s="200"/>
      <c r="G81" s="201"/>
      <c r="H81" s="480">
        <v>546</v>
      </c>
      <c r="I81" s="480">
        <v>1046</v>
      </c>
      <c r="J81" s="462">
        <v>1100</v>
      </c>
      <c r="K81" s="202"/>
      <c r="L81" s="202">
        <v>1100</v>
      </c>
      <c r="N81" s="511"/>
      <c r="O81" s="615"/>
      <c r="P81" s="511"/>
      <c r="Q81" s="511"/>
      <c r="R81" s="511"/>
      <c r="S81" s="511"/>
      <c r="T81" s="511"/>
      <c r="U81" s="511"/>
      <c r="V81" s="511"/>
      <c r="W81" s="511"/>
      <c r="X81" s="511"/>
      <c r="Y81" s="511"/>
      <c r="Z81" s="511"/>
      <c r="AA81" s="511"/>
      <c r="AB81" s="511"/>
      <c r="AC81" s="511"/>
      <c r="AD81" s="511"/>
      <c r="AE81" s="511"/>
    </row>
    <row r="82" spans="1:31" ht="18" customHeight="1" outlineLevel="1" thickBot="1" x14ac:dyDescent="0.4">
      <c r="A82" s="213">
        <v>26</v>
      </c>
      <c r="B82" s="256" t="s">
        <v>282</v>
      </c>
      <c r="C82" s="214">
        <f>C83+C85</f>
        <v>0</v>
      </c>
      <c r="D82" s="191">
        <v>75000</v>
      </c>
      <c r="E82" s="215">
        <f>E83+E85</f>
        <v>0</v>
      </c>
      <c r="F82" s="215">
        <f>F83+F85</f>
        <v>0</v>
      </c>
      <c r="G82" s="194">
        <f>D82-F82</f>
        <v>75000</v>
      </c>
      <c r="H82" s="215">
        <f>H83+H85</f>
        <v>0</v>
      </c>
      <c r="I82" s="215">
        <f>I83+I85</f>
        <v>0</v>
      </c>
      <c r="J82" s="461">
        <f>SUM(J83:J85)</f>
        <v>100000</v>
      </c>
      <c r="K82" s="195">
        <f>J82-I82</f>
        <v>100000</v>
      </c>
      <c r="L82" s="195">
        <f>SUM(L83:L85)</f>
        <v>100000</v>
      </c>
      <c r="N82" s="511"/>
      <c r="O82" s="511"/>
      <c r="P82" s="511"/>
      <c r="Q82" s="511"/>
      <c r="R82" s="511"/>
      <c r="S82" s="511"/>
      <c r="T82" s="511"/>
      <c r="U82" s="511"/>
      <c r="V82" s="511"/>
      <c r="W82" s="511"/>
      <c r="X82" s="511"/>
      <c r="Y82" s="511"/>
      <c r="Z82" s="511"/>
      <c r="AA82" s="511"/>
      <c r="AB82" s="511"/>
      <c r="AC82" s="511"/>
      <c r="AD82" s="511"/>
      <c r="AE82" s="511"/>
    </row>
    <row r="83" spans="1:31" ht="15" customHeight="1" outlineLevel="2" thickTop="1" x14ac:dyDescent="0.3">
      <c r="A83" s="196"/>
      <c r="B83" s="257" t="s">
        <v>283</v>
      </c>
      <c r="C83" s="197">
        <v>0</v>
      </c>
      <c r="D83" s="198"/>
      <c r="E83" s="199">
        <v>0</v>
      </c>
      <c r="F83" s="200">
        <v>0</v>
      </c>
      <c r="G83" s="201"/>
      <c r="H83" s="484">
        <v>0</v>
      </c>
      <c r="I83" s="484">
        <v>0</v>
      </c>
      <c r="J83" s="462">
        <v>0</v>
      </c>
      <c r="K83" s="202"/>
      <c r="L83" s="202">
        <v>0</v>
      </c>
      <c r="N83" s="616">
        <f>SUM($J$3,$J$14,$J$17)</f>
        <v>254965.7</v>
      </c>
      <c r="O83" s="511"/>
      <c r="P83" s="511"/>
      <c r="Q83" s="511"/>
      <c r="R83" s="511"/>
      <c r="S83" s="511"/>
      <c r="T83" s="511"/>
      <c r="U83" s="511"/>
      <c r="V83" s="511"/>
      <c r="W83" s="511"/>
      <c r="X83" s="511"/>
      <c r="Y83" s="511"/>
      <c r="Z83" s="511"/>
      <c r="AA83" s="511"/>
      <c r="AB83" s="511"/>
      <c r="AC83" s="511"/>
      <c r="AD83" s="511"/>
      <c r="AE83" s="511"/>
    </row>
    <row r="84" spans="1:31" ht="15" customHeight="1" outlineLevel="2" x14ac:dyDescent="0.3">
      <c r="A84" s="196"/>
      <c r="B84" s="257" t="s">
        <v>284</v>
      </c>
      <c r="C84" s="197">
        <v>0</v>
      </c>
      <c r="D84" s="198"/>
      <c r="E84" s="199">
        <v>0</v>
      </c>
      <c r="F84" s="200">
        <v>0</v>
      </c>
      <c r="G84" s="201"/>
      <c r="H84" s="484">
        <v>0</v>
      </c>
      <c r="I84" s="484">
        <v>0</v>
      </c>
      <c r="J84" s="462">
        <v>0</v>
      </c>
      <c r="K84" s="202"/>
      <c r="L84" s="202">
        <v>0</v>
      </c>
      <c r="N84" s="511"/>
      <c r="O84" s="511"/>
      <c r="P84" s="511"/>
      <c r="Q84" s="511"/>
      <c r="R84" s="511"/>
      <c r="S84" s="511"/>
      <c r="T84" s="511"/>
      <c r="U84" s="511"/>
      <c r="V84" s="511"/>
      <c r="W84" s="511"/>
      <c r="X84" s="511"/>
      <c r="Y84" s="511"/>
      <c r="Z84" s="511"/>
      <c r="AA84" s="511"/>
      <c r="AB84" s="511"/>
      <c r="AC84" s="511"/>
      <c r="AD84" s="511"/>
      <c r="AE84" s="511"/>
    </row>
    <row r="85" spans="1:31" ht="15" customHeight="1" outlineLevel="2" x14ac:dyDescent="0.3">
      <c r="A85" s="196"/>
      <c r="B85" s="257" t="s">
        <v>285</v>
      </c>
      <c r="C85" s="197">
        <v>0</v>
      </c>
      <c r="D85" s="198"/>
      <c r="E85" s="199">
        <v>0</v>
      </c>
      <c r="F85" s="200">
        <v>0</v>
      </c>
      <c r="G85" s="201"/>
      <c r="H85" s="484">
        <v>0</v>
      </c>
      <c r="I85" s="484">
        <v>0</v>
      </c>
      <c r="J85" s="463">
        <v>100000</v>
      </c>
      <c r="K85" s="202"/>
      <c r="L85" s="202">
        <v>100000</v>
      </c>
      <c r="N85" s="511"/>
      <c r="O85" s="511"/>
      <c r="P85" s="511"/>
      <c r="Q85" s="511"/>
      <c r="R85" s="511"/>
      <c r="S85" s="511"/>
      <c r="T85" s="511"/>
      <c r="U85" s="511"/>
      <c r="V85" s="511"/>
      <c r="W85" s="511"/>
      <c r="X85" s="511"/>
      <c r="Y85" s="511"/>
      <c r="Z85" s="511"/>
      <c r="AA85" s="511"/>
      <c r="AB85" s="511"/>
      <c r="AC85" s="511"/>
      <c r="AD85" s="511"/>
      <c r="AE85" s="511"/>
    </row>
    <row r="86" spans="1:31" ht="18" customHeight="1" outlineLevel="1" thickBot="1" x14ac:dyDescent="0.4">
      <c r="A86" s="204">
        <v>27</v>
      </c>
      <c r="B86" s="255" t="s">
        <v>286</v>
      </c>
      <c r="C86" s="205">
        <f>SUM(C87:C88)</f>
        <v>1.0000000000000001E-5</v>
      </c>
      <c r="D86" s="191">
        <v>1E-3</v>
      </c>
      <c r="E86" s="193">
        <f>SUM(E87:E88)</f>
        <v>1.0000000000000001E-5</v>
      </c>
      <c r="F86" s="193">
        <f>SUM(F87:F88)</f>
        <v>1.0000000000000001E-5</v>
      </c>
      <c r="G86" s="194">
        <f>D86-F86</f>
        <v>9.8999999999999999E-4</v>
      </c>
      <c r="H86" s="193">
        <f>SUM(H87:H88)</f>
        <v>1.0000000000000001E-5</v>
      </c>
      <c r="I86" s="193">
        <f>SUM(I87:I88)</f>
        <v>1.0000000000000001E-5</v>
      </c>
      <c r="J86" s="461">
        <v>0</v>
      </c>
      <c r="K86" s="195">
        <f>J86-I86</f>
        <v>-1.0000000000000001E-5</v>
      </c>
      <c r="L86" s="195">
        <v>0</v>
      </c>
      <c r="N86" s="617">
        <f>(Revenue!$E$9-246269.79)+(147009.21-N83)+0.01</f>
        <v>15153.729999999972</v>
      </c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1"/>
      <c r="AD86" s="511"/>
      <c r="AE86" s="511"/>
    </row>
    <row r="87" spans="1:31" ht="15.75" customHeight="1" outlineLevel="2" thickTop="1" x14ac:dyDescent="0.3">
      <c r="A87" s="196"/>
      <c r="B87" s="254" t="s">
        <v>287</v>
      </c>
      <c r="C87" s="197">
        <v>0</v>
      </c>
      <c r="D87" s="198"/>
      <c r="E87" s="199">
        <v>0</v>
      </c>
      <c r="F87" s="200">
        <v>0</v>
      </c>
      <c r="G87" s="201"/>
      <c r="H87" s="200">
        <v>0</v>
      </c>
      <c r="I87" s="200">
        <v>0</v>
      </c>
      <c r="J87" s="463">
        <v>0</v>
      </c>
      <c r="K87" s="202"/>
      <c r="L87" s="202">
        <v>0</v>
      </c>
      <c r="N87" s="511"/>
      <c r="O87" s="511"/>
      <c r="P87" s="511"/>
      <c r="Q87" s="511"/>
      <c r="R87" s="511"/>
      <c r="S87" s="511"/>
      <c r="T87" s="511"/>
      <c r="U87" s="511"/>
      <c r="V87" s="511"/>
      <c r="W87" s="511"/>
      <c r="X87" s="511"/>
      <c r="Y87" s="511"/>
      <c r="Z87" s="511"/>
      <c r="AA87" s="511"/>
      <c r="AB87" s="511"/>
      <c r="AC87" s="511"/>
      <c r="AD87" s="511"/>
      <c r="AE87" s="511"/>
    </row>
    <row r="88" spans="1:31" ht="15" customHeight="1" outlineLevel="2" x14ac:dyDescent="0.3">
      <c r="A88" s="196"/>
      <c r="B88" s="254" t="s">
        <v>288</v>
      </c>
      <c r="C88" s="197">
        <v>1.0000000000000001E-5</v>
      </c>
      <c r="D88" s="198"/>
      <c r="E88" s="199">
        <v>1.0000000000000001E-5</v>
      </c>
      <c r="F88" s="200">
        <v>1.0000000000000001E-5</v>
      </c>
      <c r="G88" s="201"/>
      <c r="H88" s="200">
        <v>1.0000000000000001E-5</v>
      </c>
      <c r="I88" s="200">
        <v>1.0000000000000001E-5</v>
      </c>
      <c r="J88" s="463">
        <v>0</v>
      </c>
      <c r="K88" s="202"/>
      <c r="L88" s="202">
        <v>0</v>
      </c>
      <c r="N88" s="511"/>
      <c r="O88" s="511"/>
      <c r="P88" s="511"/>
      <c r="Q88" s="511"/>
      <c r="R88" s="511"/>
      <c r="S88" s="511"/>
      <c r="T88" s="511"/>
      <c r="U88" s="511"/>
      <c r="V88" s="511"/>
      <c r="W88" s="511"/>
      <c r="X88" s="511"/>
      <c r="Y88" s="511"/>
      <c r="Z88" s="511"/>
      <c r="AA88" s="511"/>
      <c r="AB88" s="511"/>
      <c r="AC88" s="511"/>
      <c r="AD88" s="511"/>
      <c r="AE88" s="511"/>
    </row>
    <row r="89" spans="1:31" ht="18" customHeight="1" outlineLevel="1" thickBot="1" x14ac:dyDescent="0.4">
      <c r="A89" s="204">
        <v>28</v>
      </c>
      <c r="B89" s="255" t="s">
        <v>289</v>
      </c>
      <c r="C89" s="205">
        <f>C90</f>
        <v>3500</v>
      </c>
      <c r="D89" s="191">
        <v>3600</v>
      </c>
      <c r="E89" s="193">
        <f>E90</f>
        <v>2700</v>
      </c>
      <c r="F89" s="193">
        <f>F90</f>
        <v>3599.9999999099996</v>
      </c>
      <c r="G89" s="194">
        <f>D89-F89</f>
        <v>9.0000412455992773E-8</v>
      </c>
      <c r="H89" s="193">
        <f>H90</f>
        <v>2700</v>
      </c>
      <c r="I89" s="193">
        <f>I90</f>
        <v>3600</v>
      </c>
      <c r="J89" s="461">
        <f>J90</f>
        <v>3600</v>
      </c>
      <c r="K89" s="195">
        <f>J89-I89</f>
        <v>0</v>
      </c>
      <c r="L89" s="195">
        <f>L90</f>
        <v>3600</v>
      </c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511"/>
      <c r="Z89" s="511"/>
      <c r="AA89" s="511"/>
      <c r="AB89" s="511"/>
      <c r="AC89" s="511"/>
      <c r="AD89" s="511"/>
      <c r="AE89" s="511"/>
    </row>
    <row r="90" spans="1:31" ht="15.75" customHeight="1" outlineLevel="2" thickTop="1" x14ac:dyDescent="0.3">
      <c r="A90" s="196"/>
      <c r="B90" s="254" t="s">
        <v>290</v>
      </c>
      <c r="C90" s="197">
        <v>3500</v>
      </c>
      <c r="D90" s="198"/>
      <c r="E90" s="199">
        <v>2700</v>
      </c>
      <c r="F90" s="200">
        <f>E90*1.3333333333</f>
        <v>3599.9999999099996</v>
      </c>
      <c r="G90" s="201"/>
      <c r="H90" s="480">
        <v>2700</v>
      </c>
      <c r="I90" s="480">
        <v>3600</v>
      </c>
      <c r="J90" s="462">
        <v>3600</v>
      </c>
      <c r="K90" s="202"/>
      <c r="L90" s="202">
        <v>3600</v>
      </c>
    </row>
    <row r="91" spans="1:31" ht="18" customHeight="1" outlineLevel="1" thickBot="1" x14ac:dyDescent="0.4">
      <c r="A91" s="204">
        <v>29</v>
      </c>
      <c r="B91" s="255" t="s">
        <v>291</v>
      </c>
      <c r="C91" s="205">
        <f>C92</f>
        <v>343.2</v>
      </c>
      <c r="D91" s="191">
        <v>5000</v>
      </c>
      <c r="E91" s="193">
        <f>E92</f>
        <v>1148</v>
      </c>
      <c r="F91" s="193">
        <f>F92</f>
        <v>2450</v>
      </c>
      <c r="G91" s="194">
        <f>D91-F91</f>
        <v>2550</v>
      </c>
      <c r="H91" s="193">
        <f>H92</f>
        <v>2801.93</v>
      </c>
      <c r="I91" s="193">
        <f>I92</f>
        <v>4301.93</v>
      </c>
      <c r="J91" s="461">
        <f>J92</f>
        <v>6000</v>
      </c>
      <c r="K91" s="195">
        <f>J91-I91</f>
        <v>1698.0699999999997</v>
      </c>
      <c r="L91" s="195">
        <f>L92</f>
        <v>6000</v>
      </c>
    </row>
    <row r="92" spans="1:31" ht="15.75" customHeight="1" outlineLevel="2" thickTop="1" x14ac:dyDescent="0.3">
      <c r="A92" s="216"/>
      <c r="B92" s="254" t="s">
        <v>292</v>
      </c>
      <c r="C92" s="197">
        <v>343.2</v>
      </c>
      <c r="D92" s="198"/>
      <c r="E92" s="199">
        <v>1148</v>
      </c>
      <c r="F92" s="200">
        <v>2450</v>
      </c>
      <c r="G92" s="201"/>
      <c r="H92" s="480">
        <v>2801.93</v>
      </c>
      <c r="I92" s="480">
        <f>H92+1500</f>
        <v>4301.93</v>
      </c>
      <c r="J92" s="462">
        <v>6000</v>
      </c>
      <c r="K92" s="202"/>
      <c r="L92" s="202">
        <v>6000</v>
      </c>
    </row>
    <row r="93" spans="1:31" ht="18" customHeight="1" outlineLevel="1" thickBot="1" x14ac:dyDescent="0.4">
      <c r="A93" s="204">
        <v>30</v>
      </c>
      <c r="B93" s="255" t="s">
        <v>293</v>
      </c>
      <c r="C93" s="205">
        <f>C95</f>
        <v>1E-3</v>
      </c>
      <c r="D93" s="191">
        <v>1000</v>
      </c>
      <c r="E93" s="193">
        <f>E95</f>
        <v>1E-4</v>
      </c>
      <c r="F93" s="193">
        <f>F95</f>
        <v>1.0000000000000001E-5</v>
      </c>
      <c r="G93" s="194">
        <f>D93-F93</f>
        <v>999.99999000000003</v>
      </c>
      <c r="H93" s="208">
        <f>SUM(H94:H95)</f>
        <v>2540.4499999999998</v>
      </c>
      <c r="I93" s="208">
        <f>SUM(I94:I95)</f>
        <v>2540.4499999999998</v>
      </c>
      <c r="J93" s="461">
        <f>SUM(J94:J95)</f>
        <v>21000</v>
      </c>
      <c r="K93" s="195">
        <f>J93-I93</f>
        <v>18459.55</v>
      </c>
      <c r="L93" s="195">
        <f>SUM(L94:L95)</f>
        <v>17000</v>
      </c>
    </row>
    <row r="94" spans="1:31" ht="15" customHeight="1" outlineLevel="2" thickTop="1" x14ac:dyDescent="0.3">
      <c r="A94" s="196"/>
      <c r="B94" s="254" t="s">
        <v>294</v>
      </c>
      <c r="C94" s="197">
        <v>0</v>
      </c>
      <c r="D94" s="198"/>
      <c r="E94" s="199">
        <v>0</v>
      </c>
      <c r="F94" s="200">
        <v>401.9</v>
      </c>
      <c r="G94" s="201"/>
      <c r="H94" s="480">
        <v>2540.4499999999998</v>
      </c>
      <c r="I94" s="480">
        <v>2540.4499999999998</v>
      </c>
      <c r="J94" s="462">
        <v>20000</v>
      </c>
      <c r="K94" s="202"/>
      <c r="L94" s="202">
        <v>16000</v>
      </c>
    </row>
    <row r="95" spans="1:31" s="2" customFormat="1" ht="19.5" customHeight="1" outlineLevel="2" x14ac:dyDescent="0.35">
      <c r="A95" s="196"/>
      <c r="B95" s="254" t="s">
        <v>295</v>
      </c>
      <c r="C95" s="197">
        <v>1E-3</v>
      </c>
      <c r="D95" s="198"/>
      <c r="E95" s="199">
        <v>1E-4</v>
      </c>
      <c r="F95" s="217">
        <v>1.0000000000000001E-5</v>
      </c>
      <c r="G95" s="201"/>
      <c r="H95" s="480">
        <v>0</v>
      </c>
      <c r="I95" s="480">
        <v>0</v>
      </c>
      <c r="J95" s="462">
        <v>1000</v>
      </c>
      <c r="K95" s="202"/>
      <c r="L95" s="202">
        <v>1000</v>
      </c>
      <c r="N95"/>
      <c r="O95"/>
    </row>
    <row r="96" spans="1:31" ht="18" customHeight="1" outlineLevel="1" thickBot="1" x14ac:dyDescent="0.4">
      <c r="A96" s="204">
        <v>31</v>
      </c>
      <c r="B96" s="255" t="s">
        <v>296</v>
      </c>
      <c r="C96" s="218">
        <f>SUM(C97:C102)</f>
        <v>823730.26000400004</v>
      </c>
      <c r="D96" s="191">
        <v>125000</v>
      </c>
      <c r="E96" s="218">
        <f t="shared" ref="E96:F96" si="15">SUM(E97:E102)</f>
        <v>41591</v>
      </c>
      <c r="F96" s="218">
        <f t="shared" si="15"/>
        <v>21591</v>
      </c>
      <c r="G96" s="194">
        <f>D96-F96</f>
        <v>103409</v>
      </c>
      <c r="H96" s="193">
        <f>H97+H98</f>
        <v>65707.14</v>
      </c>
      <c r="I96" s="193">
        <f>I97+I98</f>
        <v>65707.14</v>
      </c>
      <c r="J96" s="486">
        <f>SUM(J97:J98)</f>
        <v>195000</v>
      </c>
      <c r="K96" s="195">
        <f>J96-I96</f>
        <v>129292.86</v>
      </c>
      <c r="L96" s="219">
        <f>SUM(L97:L98)</f>
        <v>65000</v>
      </c>
    </row>
    <row r="97" spans="1:15" ht="15.75" customHeight="1" outlineLevel="2" thickTop="1" x14ac:dyDescent="0.3">
      <c r="A97" s="196"/>
      <c r="B97" s="254" t="s">
        <v>297</v>
      </c>
      <c r="C97" s="197">
        <v>274418.42</v>
      </c>
      <c r="D97" s="198"/>
      <c r="E97" s="199">
        <v>5197</v>
      </c>
      <c r="F97" s="200">
        <v>5197</v>
      </c>
      <c r="G97" s="201"/>
      <c r="H97" s="480">
        <v>2086.25</v>
      </c>
      <c r="I97" s="480">
        <v>2086.25</v>
      </c>
      <c r="J97" s="462">
        <v>175000</v>
      </c>
      <c r="K97" s="202"/>
      <c r="L97" s="202">
        <v>65000</v>
      </c>
    </row>
    <row r="98" spans="1:15" ht="15" customHeight="1" outlineLevel="2" x14ac:dyDescent="0.3">
      <c r="A98" s="196"/>
      <c r="B98" s="415" t="s">
        <v>298</v>
      </c>
      <c r="C98" s="411">
        <v>475</v>
      </c>
      <c r="D98" s="411">
        <v>2780.91</v>
      </c>
      <c r="E98" s="412">
        <v>20000</v>
      </c>
      <c r="F98" s="200">
        <v>0</v>
      </c>
      <c r="G98" s="201"/>
      <c r="H98" s="480">
        <v>63620.89</v>
      </c>
      <c r="I98" s="480">
        <f>H98</f>
        <v>63620.89</v>
      </c>
      <c r="J98" s="462">
        <v>20000</v>
      </c>
      <c r="K98" s="202"/>
      <c r="L98" s="202">
        <v>0</v>
      </c>
      <c r="O98" s="89"/>
    </row>
    <row r="99" spans="1:15" ht="18" customHeight="1" outlineLevel="1" thickBot="1" x14ac:dyDescent="0.4">
      <c r="A99" s="204">
        <v>31</v>
      </c>
      <c r="B99" s="255" t="s">
        <v>299</v>
      </c>
      <c r="C99" s="218">
        <f>SUM(C100:C104)</f>
        <v>274418.42000300001</v>
      </c>
      <c r="D99" s="191">
        <v>125000</v>
      </c>
      <c r="E99" s="218">
        <f t="shared" ref="E99:F99" si="16">SUM(E100:E104)</f>
        <v>8197</v>
      </c>
      <c r="F99" s="218">
        <f t="shared" si="16"/>
        <v>8197</v>
      </c>
      <c r="G99" s="194">
        <f>D99-F99</f>
        <v>116803</v>
      </c>
      <c r="H99" s="218">
        <f t="shared" ref="H99" si="17">SUM(H100:H104)</f>
        <v>7533.52</v>
      </c>
      <c r="I99" s="218">
        <f t="shared" ref="I99" si="18">SUM(I100:I104)</f>
        <v>400</v>
      </c>
      <c r="J99" s="468">
        <f>SUM(J100:J104)</f>
        <v>500000</v>
      </c>
      <c r="K99" s="195">
        <f>J99-I99</f>
        <v>499600</v>
      </c>
      <c r="L99" s="219">
        <f>SUM(L100:L104)</f>
        <v>560000</v>
      </c>
    </row>
    <row r="100" spans="1:15" ht="15.75" customHeight="1" outlineLevel="2" thickTop="1" x14ac:dyDescent="0.3">
      <c r="A100" s="196"/>
      <c r="B100" s="254" t="s">
        <v>300</v>
      </c>
      <c r="C100" s="197">
        <v>274418.42</v>
      </c>
      <c r="D100" s="198"/>
      <c r="E100" s="199">
        <v>5197</v>
      </c>
      <c r="F100" s="200">
        <v>5197</v>
      </c>
      <c r="G100" s="201"/>
      <c r="H100" s="480">
        <v>7133.52</v>
      </c>
      <c r="I100" s="480">
        <v>0</v>
      </c>
      <c r="J100" s="462">
        <v>500000</v>
      </c>
      <c r="K100" s="202"/>
      <c r="L100" s="202">
        <v>550000</v>
      </c>
    </row>
    <row r="101" spans="1:15" ht="15" customHeight="1" outlineLevel="2" x14ac:dyDescent="0.3">
      <c r="A101" s="196"/>
      <c r="B101" s="254" t="s">
        <v>301</v>
      </c>
      <c r="C101" s="197">
        <v>0</v>
      </c>
      <c r="D101" s="198"/>
      <c r="E101" s="199">
        <v>3000</v>
      </c>
      <c r="F101" s="200">
        <v>3000</v>
      </c>
      <c r="G101" s="201"/>
      <c r="H101" s="480">
        <v>400</v>
      </c>
      <c r="I101" s="480">
        <f>H101</f>
        <v>400</v>
      </c>
      <c r="J101" s="462">
        <v>0</v>
      </c>
      <c r="K101" s="202"/>
      <c r="L101" s="202">
        <v>10000</v>
      </c>
      <c r="O101" s="89"/>
    </row>
    <row r="102" spans="1:15" ht="15" customHeight="1" outlineLevel="2" x14ac:dyDescent="0.3">
      <c r="A102" s="196"/>
      <c r="B102" s="254" t="s">
        <v>302</v>
      </c>
      <c r="C102" s="197">
        <v>9.9999999999999995E-7</v>
      </c>
      <c r="D102" s="198"/>
      <c r="E102" s="199">
        <v>0</v>
      </c>
      <c r="F102" s="200">
        <v>0</v>
      </c>
      <c r="G102" s="201"/>
      <c r="H102" s="482">
        <v>0</v>
      </c>
      <c r="I102" s="482">
        <v>0</v>
      </c>
      <c r="J102" s="463">
        <v>0</v>
      </c>
      <c r="K102" s="202"/>
      <c r="L102" s="202">
        <v>0</v>
      </c>
    </row>
    <row r="103" spans="1:15" ht="15" customHeight="1" outlineLevel="2" x14ac:dyDescent="0.3">
      <c r="A103" s="196"/>
      <c r="B103" s="254" t="s">
        <v>303</v>
      </c>
      <c r="C103" s="197">
        <v>9.9999999999999995E-7</v>
      </c>
      <c r="D103" s="198"/>
      <c r="E103" s="199">
        <v>0</v>
      </c>
      <c r="F103" s="200">
        <v>0</v>
      </c>
      <c r="G103" s="201"/>
      <c r="H103" s="482">
        <v>0</v>
      </c>
      <c r="I103" s="482">
        <v>0</v>
      </c>
      <c r="J103" s="463">
        <v>0</v>
      </c>
      <c r="K103" s="202"/>
      <c r="L103" s="202">
        <v>0</v>
      </c>
    </row>
    <row r="104" spans="1:15" ht="15" customHeight="1" outlineLevel="2" x14ac:dyDescent="0.3">
      <c r="A104" s="196"/>
      <c r="B104" s="254" t="s">
        <v>304</v>
      </c>
      <c r="C104" s="197">
        <v>9.9999999999999995E-7</v>
      </c>
      <c r="D104" s="198"/>
      <c r="E104" s="199">
        <v>0</v>
      </c>
      <c r="F104" s="200">
        <v>0</v>
      </c>
      <c r="G104" s="201"/>
      <c r="H104" s="482">
        <v>0</v>
      </c>
      <c r="I104" s="482">
        <v>0</v>
      </c>
      <c r="J104" s="463">
        <v>0</v>
      </c>
      <c r="K104" s="202"/>
      <c r="L104" s="202">
        <v>0</v>
      </c>
    </row>
    <row r="105" spans="1:15" ht="18" customHeight="1" outlineLevel="1" thickBot="1" x14ac:dyDescent="0.4">
      <c r="A105" s="204">
        <v>32</v>
      </c>
      <c r="B105" s="255" t="s">
        <v>305</v>
      </c>
      <c r="C105" s="205">
        <f>C106</f>
        <v>9.9999999999999995E-7</v>
      </c>
      <c r="D105" s="191">
        <v>25000</v>
      </c>
      <c r="E105" s="193">
        <f>E106</f>
        <v>0</v>
      </c>
      <c r="F105" s="193">
        <f>F106</f>
        <v>1.0000000000000001E-5</v>
      </c>
      <c r="G105" s="194">
        <f>D105-F105</f>
        <v>24999.99999</v>
      </c>
      <c r="H105" s="193">
        <f>H106</f>
        <v>7400</v>
      </c>
      <c r="I105" s="487">
        <f>I106</f>
        <v>7400</v>
      </c>
      <c r="J105" s="461">
        <f>J106</f>
        <v>25000</v>
      </c>
      <c r="K105" s="195">
        <f>J105-I105</f>
        <v>17600</v>
      </c>
      <c r="L105" s="195">
        <f>L106</f>
        <v>35000</v>
      </c>
    </row>
    <row r="106" spans="1:15" ht="15.75" customHeight="1" outlineLevel="2" thickTop="1" x14ac:dyDescent="0.3">
      <c r="A106" s="196"/>
      <c r="B106" s="254" t="s">
        <v>306</v>
      </c>
      <c r="C106" s="197">
        <v>9.9999999999999995E-7</v>
      </c>
      <c r="D106" s="198"/>
      <c r="E106" s="199">
        <v>0</v>
      </c>
      <c r="F106" s="200">
        <v>1.0000000000000001E-5</v>
      </c>
      <c r="G106" s="201"/>
      <c r="H106" s="480">
        <v>7400</v>
      </c>
      <c r="I106" s="480">
        <f>H106</f>
        <v>7400</v>
      </c>
      <c r="J106" s="462">
        <v>25000</v>
      </c>
      <c r="K106" s="202"/>
      <c r="L106" s="202">
        <v>35000</v>
      </c>
    </row>
    <row r="107" spans="1:15" ht="18" customHeight="1" outlineLevel="1" thickBot="1" x14ac:dyDescent="0.4">
      <c r="A107" s="204">
        <v>33</v>
      </c>
      <c r="B107" s="255" t="s">
        <v>307</v>
      </c>
      <c r="C107" s="205">
        <f>C109+C108</f>
        <v>1243.4000000000001</v>
      </c>
      <c r="D107" s="191">
        <v>10000</v>
      </c>
      <c r="E107" s="193">
        <f>E109+E108</f>
        <v>4260</v>
      </c>
      <c r="F107" s="193">
        <f>F109+F108</f>
        <v>5679.9999998579997</v>
      </c>
      <c r="G107" s="194">
        <f>D107-F107</f>
        <v>4320.0000001420003</v>
      </c>
      <c r="H107" s="193">
        <f>H109+H108</f>
        <v>2640</v>
      </c>
      <c r="I107" s="193">
        <f>I109+I108</f>
        <v>3168</v>
      </c>
      <c r="J107" s="461">
        <f>SUM(J108:J109)</f>
        <v>8000</v>
      </c>
      <c r="K107" s="195">
        <f>J107-I107</f>
        <v>4832</v>
      </c>
      <c r="L107" s="195">
        <f>SUM(L108:L109)</f>
        <v>6000</v>
      </c>
    </row>
    <row r="108" spans="1:15" ht="15.75" customHeight="1" outlineLevel="2" thickTop="1" x14ac:dyDescent="0.3">
      <c r="A108" s="196"/>
      <c r="B108" s="254" t="s">
        <v>308</v>
      </c>
      <c r="C108" s="197">
        <v>1243.4000000000001</v>
      </c>
      <c r="D108" s="198"/>
      <c r="E108" s="199">
        <v>4260</v>
      </c>
      <c r="F108" s="200">
        <f>E108*1.3333333333</f>
        <v>5679.9999998579997</v>
      </c>
      <c r="G108" s="201"/>
      <c r="H108" s="480">
        <v>2640</v>
      </c>
      <c r="I108" s="480">
        <f t="shared" ref="I108" si="19">H108*1.2</f>
        <v>3168</v>
      </c>
      <c r="J108" s="462">
        <v>8000</v>
      </c>
      <c r="K108" s="202"/>
      <c r="L108" s="202">
        <v>6000</v>
      </c>
    </row>
    <row r="109" spans="1:15" ht="15" customHeight="1" outlineLevel="2" x14ac:dyDescent="0.3">
      <c r="A109" s="196"/>
      <c r="B109" s="254" t="s">
        <v>309</v>
      </c>
      <c r="C109" s="197">
        <v>0</v>
      </c>
      <c r="D109" s="198"/>
      <c r="E109" s="199">
        <v>0</v>
      </c>
      <c r="F109" s="200">
        <f>E109*1.3333333333</f>
        <v>0</v>
      </c>
      <c r="G109" s="201"/>
      <c r="H109" s="481">
        <f>F109*1.3333333333</f>
        <v>0</v>
      </c>
      <c r="I109" s="481">
        <f>G109*1.3333333333</f>
        <v>0</v>
      </c>
      <c r="J109" s="463">
        <v>0</v>
      </c>
      <c r="K109" s="202"/>
      <c r="L109" s="202">
        <v>0</v>
      </c>
    </row>
    <row r="110" spans="1:15" ht="18" customHeight="1" outlineLevel="1" thickBot="1" x14ac:dyDescent="0.4">
      <c r="A110" s="204">
        <v>34</v>
      </c>
      <c r="B110" s="255" t="s">
        <v>310</v>
      </c>
      <c r="C110" s="205">
        <f>C113</f>
        <v>9.9999999999999995E-8</v>
      </c>
      <c r="D110" s="191">
        <v>30000</v>
      </c>
      <c r="E110" s="193">
        <f>E113</f>
        <v>9.9999999999999995E-8</v>
      </c>
      <c r="F110" s="193">
        <f>F113</f>
        <v>9.9999999999999995E-8</v>
      </c>
      <c r="G110" s="194">
        <f>D110-F110</f>
        <v>29999.999999899999</v>
      </c>
      <c r="H110" s="193">
        <f>H113</f>
        <v>1000</v>
      </c>
      <c r="I110" s="193">
        <f>I113</f>
        <v>1000</v>
      </c>
      <c r="J110" s="461">
        <f>SUM(J111:J113)</f>
        <v>50000</v>
      </c>
      <c r="K110" s="195">
        <f>J110-I110</f>
        <v>49000</v>
      </c>
      <c r="L110" s="195">
        <f>SUM(L111:L113)</f>
        <v>440000</v>
      </c>
    </row>
    <row r="111" spans="1:15" ht="15.75" customHeight="1" outlineLevel="3" thickTop="1" x14ac:dyDescent="0.3">
      <c r="A111" s="196"/>
      <c r="B111" s="254" t="s">
        <v>311</v>
      </c>
      <c r="C111" s="197">
        <v>9.9999999999999995E-8</v>
      </c>
      <c r="D111" s="198"/>
      <c r="E111" s="199">
        <v>9.9999999999999995E-8</v>
      </c>
      <c r="F111" s="200">
        <v>9.9999999999999995E-8</v>
      </c>
      <c r="G111" s="201"/>
      <c r="H111" s="482">
        <v>9.9999999999999995E-8</v>
      </c>
      <c r="I111" s="482">
        <v>9.9999999999999995E-8</v>
      </c>
      <c r="J111" s="463">
        <v>0</v>
      </c>
      <c r="K111" s="202"/>
      <c r="L111" s="202">
        <v>0</v>
      </c>
      <c r="N111" s="74"/>
      <c r="O111" s="6"/>
    </row>
    <row r="112" spans="1:15" ht="15.75" customHeight="1" outlineLevel="3" x14ac:dyDescent="0.3">
      <c r="A112" s="196"/>
      <c r="B112" s="254" t="s">
        <v>491</v>
      </c>
      <c r="C112" s="197"/>
      <c r="D112" s="198"/>
      <c r="E112" s="199"/>
      <c r="F112" s="200"/>
      <c r="G112" s="201"/>
      <c r="H112" s="482"/>
      <c r="I112" s="482"/>
      <c r="J112" s="463"/>
      <c r="K112" s="202"/>
      <c r="L112" s="202">
        <v>440000</v>
      </c>
      <c r="N112" s="74"/>
      <c r="O112" s="6"/>
    </row>
    <row r="113" spans="1:77" ht="15.75" customHeight="1" outlineLevel="3" x14ac:dyDescent="0.3">
      <c r="A113" s="196"/>
      <c r="B113" s="254" t="s">
        <v>312</v>
      </c>
      <c r="C113" s="197">
        <v>9.9999999999999995E-8</v>
      </c>
      <c r="D113" s="198"/>
      <c r="E113" s="199">
        <v>9.9999999999999995E-8</v>
      </c>
      <c r="F113" s="200">
        <v>9.9999999999999995E-8</v>
      </c>
      <c r="G113" s="201"/>
      <c r="H113" s="482">
        <v>1000</v>
      </c>
      <c r="I113" s="482">
        <v>1000</v>
      </c>
      <c r="J113" s="463">
        <v>50000</v>
      </c>
      <c r="K113" s="202"/>
      <c r="L113" s="202">
        <v>0</v>
      </c>
      <c r="M113" s="81"/>
      <c r="N113" s="74"/>
      <c r="O113" s="6"/>
    </row>
    <row r="114" spans="1:77" ht="18.600000000000001" thickBot="1" x14ac:dyDescent="0.4">
      <c r="A114" s="220">
        <v>35</v>
      </c>
      <c r="B114" s="258" t="s">
        <v>27</v>
      </c>
      <c r="C114" s="221">
        <f>SUM(C110,C107,C105,C99,C93,C91,C89,C86,C79,C76,C74,C68,C66,C64,C60,C56,C54,C52,C50,C48,C46,C44,C42,C39,C29,C27,C25,C23,C21,C17,C15,C13,C3)</f>
        <v>754077.51111409999</v>
      </c>
      <c r="D114" s="222">
        <f>SUM(D110,D107,D105,D99,D93,D91,D89,D86,D79,D76,D74,D68,D66,D64,D60,D56,D54,D52,D50,D48,D46,D44,D42,D39,D29,D27,D25,D23,D21,D17,D82,D15,D13,D3)</f>
        <v>836363.00099999993</v>
      </c>
      <c r="E114" s="223">
        <f>SUM(E110,E107,E105,E99,E93,E91,E89,E86,E79,E76,E74,E68,E66,E64,E60,E56,E54,E52,E50,E48,E46,E44,E42,E39,E29,E27,E25,E23,E21,E17,E15,E13,E3)</f>
        <v>459689.51332010003</v>
      </c>
      <c r="F114" s="223" t="e">
        <f>SUM(F110,F107,F105,F99,F93,F91,F89,F86,F79,F76,F74,F68,F66,F64,F60,F56,F54,F52,F50,F48,F46,F44,F42,F39,F29,F27,F25,F23,F21,F17,F15,F13,F3)</f>
        <v>#REF!</v>
      </c>
      <c r="G114" s="223" t="e">
        <f>D114-F114</f>
        <v>#REF!</v>
      </c>
      <c r="H114" s="223">
        <f>SUM(H110,H107,H105,H99,H93,H91,H89,H86,H79,H76,H74,H68,H66,H64,H60,H56,H54,H52,H50,H48,H46,H44,H42,H39,H29,H27,H25,H23,H21,H17,H15,H13,H3)</f>
        <v>458938.12001999997</v>
      </c>
      <c r="I114" s="223">
        <f>SUM(I110,I107,I105,I99,I93,I91,I89,I86,I79,I76,I74,I68,I66,I64,I60,I56,I54,I52,I50,I48,I46,I44,I42,I39,I29,I27,I25,I23,I21,I17,I15,I13,I3)</f>
        <v>569751.77001999994</v>
      </c>
      <c r="J114" s="469">
        <f>SUM(J110,J107,J105,J99,J93,J91,J89,J86,J79,J76,J74,J68,J66,J64,J60,J56,J54,J52,J50,J48,J46,J44,J42,J39,J29,J27,J25,J23,J21,J17,J15,J13,J3)</f>
        <v>1319900</v>
      </c>
      <c r="K114" s="195">
        <f>J114-I114</f>
        <v>750148.22998000006</v>
      </c>
      <c r="L114" s="224">
        <f>SUM(L110,L107,L105,L99,L93,L91,L89,L86,L79,L76,L74,L68,L66,L64,L60,L56,L54,L52,L50,L48,L47,L44,L42,L39,L29,L27,L25,L23,L21,L17,L15,L13,L3,L82,L96)</f>
        <v>3419814</v>
      </c>
      <c r="M114" s="689">
        <f>L114-1940000-500000</f>
        <v>979814</v>
      </c>
      <c r="N114" s="92"/>
      <c r="O114" s="92"/>
    </row>
    <row r="115" spans="1:77" ht="20.25" customHeight="1" thickTop="1" thickBot="1" x14ac:dyDescent="0.45">
      <c r="A115" s="225"/>
      <c r="B115" s="259" t="s">
        <v>313</v>
      </c>
      <c r="C115" s="226"/>
      <c r="D115" s="227"/>
      <c r="E115" s="228"/>
      <c r="F115" s="228"/>
      <c r="G115" s="229"/>
      <c r="H115" s="228"/>
      <c r="I115" s="228"/>
      <c r="J115" s="470"/>
      <c r="K115" s="230"/>
      <c r="L115" s="230"/>
      <c r="M115" s="81"/>
      <c r="N115" s="92" t="s">
        <v>126</v>
      </c>
      <c r="O115" s="92"/>
    </row>
    <row r="116" spans="1:77" s="3" customFormat="1" ht="20.25" customHeight="1" thickTop="1" thickBot="1" x14ac:dyDescent="0.4">
      <c r="A116" s="204">
        <v>36</v>
      </c>
      <c r="B116" s="260" t="s">
        <v>314</v>
      </c>
      <c r="C116" s="205">
        <f>C118+C117</f>
        <v>34901.300000000003</v>
      </c>
      <c r="D116" s="231"/>
      <c r="E116" s="193">
        <f>E118+E117</f>
        <v>203624.69</v>
      </c>
      <c r="F116" s="193">
        <f>SUM(F117:F118)</f>
        <v>149754.26</v>
      </c>
      <c r="G116" s="214">
        <f>F116-D116</f>
        <v>149754.26</v>
      </c>
      <c r="H116" s="193">
        <f>SUM(H117:H118)</f>
        <v>1828175.8</v>
      </c>
      <c r="I116" s="193">
        <f>SUM(I117:I118)</f>
        <v>1828175.8</v>
      </c>
      <c r="J116" s="471">
        <f>SUM(J117:J118)</f>
        <v>1828175.8</v>
      </c>
      <c r="K116" s="232"/>
      <c r="L116" s="232">
        <f>ROUND(SUM(L117:L118),-2)</f>
        <v>1828200</v>
      </c>
      <c r="M116" s="82" t="s">
        <v>126</v>
      </c>
      <c r="N116" s="92"/>
      <c r="O116" s="92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70"/>
      <c r="AL116" s="70"/>
      <c r="AM116" s="70"/>
      <c r="AN116" s="70"/>
      <c r="AO116" s="70"/>
      <c r="AP116" s="70"/>
      <c r="AQ116" s="70"/>
      <c r="AR116" s="70"/>
      <c r="AS116" s="70"/>
      <c r="AT116" s="70"/>
      <c r="AU116" s="70"/>
      <c r="AV116" s="70"/>
      <c r="AW116" s="70"/>
      <c r="AX116" s="70"/>
      <c r="AY116" s="70"/>
      <c r="AZ116" s="70"/>
      <c r="BA116" s="70"/>
      <c r="BB116" s="70"/>
      <c r="BC116" s="70"/>
      <c r="BD116" s="70"/>
      <c r="BE116" s="70"/>
      <c r="BF116" s="70"/>
      <c r="BG116" s="70"/>
      <c r="BH116" s="70"/>
      <c r="BI116" s="70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  <c r="BX116" s="70"/>
      <c r="BY116" s="70"/>
    </row>
    <row r="117" spans="1:77" ht="15.75" customHeight="1" outlineLevel="1" thickTop="1" x14ac:dyDescent="0.3">
      <c r="A117" s="196"/>
      <c r="B117" s="254" t="s">
        <v>315</v>
      </c>
      <c r="C117" s="197">
        <v>21441.87</v>
      </c>
      <c r="D117" s="198"/>
      <c r="E117" s="199">
        <v>199604.84</v>
      </c>
      <c r="F117" s="200">
        <v>145734.41</v>
      </c>
      <c r="G117" s="201"/>
      <c r="H117" s="482">
        <v>1822423.23</v>
      </c>
      <c r="I117" s="482">
        <f>H117</f>
        <v>1822423.23</v>
      </c>
      <c r="J117" s="463">
        <f t="shared" ref="J117:J118" si="20">I117</f>
        <v>1822423.23</v>
      </c>
      <c r="K117" s="233"/>
      <c r="L117" s="202">
        <f t="shared" ref="L117:L118" si="21">H117</f>
        <v>1822423.23</v>
      </c>
      <c r="M117" s="81"/>
      <c r="N117" s="92" t="s">
        <v>126</v>
      </c>
      <c r="O117" s="92"/>
    </row>
    <row r="118" spans="1:77" ht="15" customHeight="1" outlineLevel="1" x14ac:dyDescent="0.3">
      <c r="A118" s="196"/>
      <c r="B118" s="254" t="s">
        <v>316</v>
      </c>
      <c r="C118" s="197">
        <v>13459.43</v>
      </c>
      <c r="D118" s="198"/>
      <c r="E118" s="199">
        <v>4019.85</v>
      </c>
      <c r="F118" s="200">
        <f>E118</f>
        <v>4019.85</v>
      </c>
      <c r="G118" s="201"/>
      <c r="H118" s="482">
        <v>5752.57</v>
      </c>
      <c r="I118" s="482">
        <f>H118</f>
        <v>5752.57</v>
      </c>
      <c r="J118" s="463">
        <f t="shared" si="20"/>
        <v>5752.57</v>
      </c>
      <c r="K118" s="202"/>
      <c r="L118" s="202">
        <f t="shared" si="21"/>
        <v>5752.57</v>
      </c>
      <c r="M118" s="81"/>
      <c r="N118" s="92"/>
      <c r="O118" s="92"/>
    </row>
    <row r="119" spans="1:77" ht="15" customHeight="1" outlineLevel="1" thickBot="1" x14ac:dyDescent="0.4">
      <c r="A119" s="196"/>
      <c r="B119" s="253" t="s">
        <v>494</v>
      </c>
      <c r="C119" s="205"/>
      <c r="D119" s="231"/>
      <c r="E119" s="193"/>
      <c r="F119" s="193"/>
      <c r="G119" s="214"/>
      <c r="H119" s="193"/>
      <c r="I119" s="193"/>
      <c r="J119" s="461"/>
      <c r="K119" s="195"/>
      <c r="L119" s="195">
        <f>ROUND(L120,-1)</f>
        <v>10500</v>
      </c>
      <c r="M119" s="81"/>
      <c r="N119" s="92"/>
      <c r="O119" s="92"/>
    </row>
    <row r="120" spans="1:77" ht="15" customHeight="1" outlineLevel="1" thickTop="1" x14ac:dyDescent="0.3">
      <c r="A120" s="196"/>
      <c r="B120" s="254" t="s">
        <v>495</v>
      </c>
      <c r="C120" s="197"/>
      <c r="D120" s="198"/>
      <c r="E120" s="199"/>
      <c r="F120" s="200"/>
      <c r="G120" s="201"/>
      <c r="H120" s="482"/>
      <c r="I120" s="482">
        <v>10296.42</v>
      </c>
      <c r="J120" s="463">
        <v>10296.42</v>
      </c>
      <c r="K120" s="202"/>
      <c r="L120" s="202">
        <f>'Water Fund'!I66</f>
        <v>10497.13</v>
      </c>
      <c r="M120" s="81"/>
      <c r="N120" s="92"/>
      <c r="O120" s="92"/>
    </row>
    <row r="121" spans="1:77" ht="18" customHeight="1" thickBot="1" x14ac:dyDescent="0.4">
      <c r="A121" s="204">
        <v>37</v>
      </c>
      <c r="B121" s="253" t="s">
        <v>317</v>
      </c>
      <c r="C121" s="205">
        <f>SUM(C122:C127)</f>
        <v>511744.06</v>
      </c>
      <c r="D121" s="231"/>
      <c r="E121" s="193">
        <f>SUM(E122:E127)</f>
        <v>589713.19999999995</v>
      </c>
      <c r="F121" s="193">
        <f>SUM(F122:F127)</f>
        <v>589713.19999999995</v>
      </c>
      <c r="G121" s="214">
        <f>F121-D121</f>
        <v>589713.19999999995</v>
      </c>
      <c r="H121" s="193">
        <f>SUM(H122:H127)</f>
        <v>613615.12999999989</v>
      </c>
      <c r="I121" s="193">
        <f>SUM(I122:I127)</f>
        <v>613615.12999999989</v>
      </c>
      <c r="J121" s="461">
        <f>SUM(J122:J127)</f>
        <v>613615.12999999989</v>
      </c>
      <c r="K121" s="195"/>
      <c r="L121" s="195">
        <f>ROUND(SUM(L122:L127),-2)</f>
        <v>613600</v>
      </c>
      <c r="M121" s="81"/>
      <c r="N121" s="92"/>
      <c r="O121" s="92"/>
    </row>
    <row r="122" spans="1:77" ht="15.75" customHeight="1" outlineLevel="1" thickTop="1" x14ac:dyDescent="0.3">
      <c r="A122" s="196"/>
      <c r="B122" s="254" t="s">
        <v>318</v>
      </c>
      <c r="C122" s="197">
        <v>117118.81</v>
      </c>
      <c r="D122" s="198"/>
      <c r="E122" s="199">
        <v>117541.89</v>
      </c>
      <c r="F122" s="200">
        <f t="shared" ref="F122:F127" si="22">E122</f>
        <v>117541.89</v>
      </c>
      <c r="G122" s="201"/>
      <c r="H122" s="482">
        <v>122012.83</v>
      </c>
      <c r="I122" s="482">
        <f t="shared" ref="I122:J127" si="23">H122</f>
        <v>122012.83</v>
      </c>
      <c r="J122" s="463">
        <f t="shared" si="23"/>
        <v>122012.83</v>
      </c>
      <c r="K122" s="202"/>
      <c r="L122" s="202">
        <f>H122</f>
        <v>122012.83</v>
      </c>
      <c r="M122" s="81"/>
      <c r="N122" s="92">
        <v>135516.85</v>
      </c>
      <c r="O122" s="92"/>
    </row>
    <row r="123" spans="1:77" ht="15" customHeight="1" outlineLevel="1" x14ac:dyDescent="0.3">
      <c r="A123" s="196"/>
      <c r="B123" s="254" t="s">
        <v>319</v>
      </c>
      <c r="C123" s="197">
        <v>129427.6</v>
      </c>
      <c r="D123" s="198"/>
      <c r="E123" s="199">
        <v>129893.73</v>
      </c>
      <c r="F123" s="200">
        <f t="shared" si="22"/>
        <v>129893.73</v>
      </c>
      <c r="G123" s="201"/>
      <c r="H123" s="482">
        <v>134807.91</v>
      </c>
      <c r="I123" s="482">
        <f t="shared" si="23"/>
        <v>134807.91</v>
      </c>
      <c r="J123" s="463">
        <f t="shared" si="23"/>
        <v>134807.91</v>
      </c>
      <c r="K123" s="202"/>
      <c r="L123" s="202">
        <f t="shared" ref="L123:L127" si="24">H123</f>
        <v>134807.91</v>
      </c>
      <c r="M123" s="81"/>
      <c r="N123" s="92"/>
      <c r="O123" s="92"/>
    </row>
    <row r="124" spans="1:77" ht="15" customHeight="1" outlineLevel="1" x14ac:dyDescent="0.3">
      <c r="A124" s="196"/>
      <c r="B124" s="254" t="s">
        <v>320</v>
      </c>
      <c r="C124" s="197">
        <v>107139.38</v>
      </c>
      <c r="D124" s="198"/>
      <c r="E124" s="199">
        <v>107339.84</v>
      </c>
      <c r="F124" s="200">
        <f t="shared" si="22"/>
        <v>107339.84</v>
      </c>
      <c r="G124" s="201"/>
      <c r="H124" s="482">
        <v>109651.59</v>
      </c>
      <c r="I124" s="482">
        <f t="shared" si="23"/>
        <v>109651.59</v>
      </c>
      <c r="J124" s="463">
        <f t="shared" si="23"/>
        <v>109651.59</v>
      </c>
      <c r="K124" s="202"/>
      <c r="L124" s="202">
        <f t="shared" si="24"/>
        <v>109651.59</v>
      </c>
      <c r="M124" s="81"/>
      <c r="N124" s="92">
        <f>SUM($J$3,$J$13,$J$15)</f>
        <v>207600</v>
      </c>
      <c r="O124" s="92" t="s">
        <v>321</v>
      </c>
    </row>
    <row r="125" spans="1:77" ht="15" customHeight="1" outlineLevel="1" x14ac:dyDescent="0.3">
      <c r="A125" s="196"/>
      <c r="B125" s="254" t="s">
        <v>322</v>
      </c>
      <c r="C125" s="197">
        <v>52677.23</v>
      </c>
      <c r="D125" s="198"/>
      <c r="E125" s="199">
        <v>53272.62</v>
      </c>
      <c r="F125" s="200">
        <f t="shared" si="22"/>
        <v>53272.62</v>
      </c>
      <c r="G125" s="201"/>
      <c r="H125" s="482">
        <v>56702.26</v>
      </c>
      <c r="I125" s="482">
        <f t="shared" si="23"/>
        <v>56702.26</v>
      </c>
      <c r="J125" s="463">
        <f t="shared" si="23"/>
        <v>56702.26</v>
      </c>
      <c r="K125" s="202"/>
      <c r="L125" s="202">
        <f t="shared" si="24"/>
        <v>56702.26</v>
      </c>
      <c r="M125" s="81"/>
      <c r="N125" s="92"/>
      <c r="O125" s="92"/>
    </row>
    <row r="126" spans="1:77" ht="15" customHeight="1" outlineLevel="1" x14ac:dyDescent="0.3">
      <c r="A126" s="196"/>
      <c r="B126" s="254" t="s">
        <v>323</v>
      </c>
      <c r="C126" s="197">
        <v>105381.04</v>
      </c>
      <c r="D126" s="198"/>
      <c r="E126" s="199">
        <v>106572.12</v>
      </c>
      <c r="F126" s="200">
        <f t="shared" si="22"/>
        <v>106572.12</v>
      </c>
      <c r="G126" s="201"/>
      <c r="H126" s="482">
        <v>113574.71</v>
      </c>
      <c r="I126" s="482">
        <f t="shared" si="23"/>
        <v>113574.71</v>
      </c>
      <c r="J126" s="463">
        <f t="shared" si="23"/>
        <v>113574.71</v>
      </c>
      <c r="K126" s="202"/>
      <c r="L126" s="202">
        <f t="shared" si="24"/>
        <v>113574.71</v>
      </c>
      <c r="M126" s="81"/>
      <c r="N126" s="92">
        <v>-256569.78496588673</v>
      </c>
      <c r="O126" s="92" t="s">
        <v>324</v>
      </c>
    </row>
    <row r="127" spans="1:77" ht="15" customHeight="1" outlineLevel="1" x14ac:dyDescent="0.3">
      <c r="A127" s="196"/>
      <c r="B127" s="254" t="s">
        <v>325</v>
      </c>
      <c r="C127" s="197">
        <v>0</v>
      </c>
      <c r="D127" s="198"/>
      <c r="E127" s="199">
        <v>75093</v>
      </c>
      <c r="F127" s="200">
        <f t="shared" si="22"/>
        <v>75093</v>
      </c>
      <c r="G127" s="201"/>
      <c r="H127" s="482">
        <v>76865.83</v>
      </c>
      <c r="I127" s="482">
        <f t="shared" si="23"/>
        <v>76865.83</v>
      </c>
      <c r="J127" s="463">
        <f t="shared" si="23"/>
        <v>76865.83</v>
      </c>
      <c r="K127" s="202"/>
      <c r="L127" s="202">
        <f t="shared" si="24"/>
        <v>76865.83</v>
      </c>
      <c r="M127" s="81"/>
      <c r="N127" s="92"/>
      <c r="O127" s="92"/>
    </row>
    <row r="128" spans="1:77" ht="21.6" thickBot="1" x14ac:dyDescent="0.45">
      <c r="A128" s="234">
        <v>38</v>
      </c>
      <c r="B128" s="261" t="s">
        <v>326</v>
      </c>
      <c r="C128" s="235">
        <f>SUM(C116,C121)</f>
        <v>546645.36</v>
      </c>
      <c r="D128" s="236">
        <v>451858</v>
      </c>
      <c r="E128" s="237">
        <f>SUM(E116,E121)</f>
        <v>793337.8899999999</v>
      </c>
      <c r="F128" s="237">
        <f>SUM(F116,F121)</f>
        <v>739467.46</v>
      </c>
      <c r="G128" s="238">
        <f>F128-D128</f>
        <v>287609.45999999996</v>
      </c>
      <c r="H128" s="237">
        <f>SUM(H116,H121)</f>
        <v>2441790.9299999997</v>
      </c>
      <c r="I128" s="237">
        <f>SUM(I116,I121)</f>
        <v>2441790.9299999997</v>
      </c>
      <c r="J128" s="609">
        <f>SUM(J116,J121)</f>
        <v>2441790.9299999997</v>
      </c>
      <c r="K128" s="239"/>
      <c r="L128" s="239">
        <f>+L116+L121</f>
        <v>2441800</v>
      </c>
      <c r="M128" s="81">
        <f>IF(J131-J130&lt;0,0,#REF!-246269.78)</f>
        <v>0</v>
      </c>
      <c r="N128" s="92">
        <f>+(J3+J13+J15)-147009.21</f>
        <v>60590.790000000008</v>
      </c>
      <c r="O128" s="92" t="s">
        <v>327</v>
      </c>
    </row>
    <row r="129" spans="1:15" ht="24" thickTop="1" x14ac:dyDescent="0.4">
      <c r="A129" s="196"/>
      <c r="B129" s="262"/>
      <c r="C129" s="240"/>
      <c r="D129" s="241"/>
      <c r="E129" s="242"/>
      <c r="F129" s="242"/>
      <c r="G129" s="243"/>
      <c r="H129" s="242"/>
      <c r="I129" s="242"/>
      <c r="J129" s="472" t="s">
        <v>126</v>
      </c>
      <c r="K129" s="244"/>
      <c r="L129" s="244" t="s">
        <v>126</v>
      </c>
      <c r="M129" s="81"/>
      <c r="N129" s="92"/>
      <c r="O129" s="92"/>
    </row>
    <row r="130" spans="1:15" ht="21.6" thickBot="1" x14ac:dyDescent="0.45">
      <c r="A130" s="245">
        <v>39</v>
      </c>
      <c r="B130" s="263" t="s">
        <v>328</v>
      </c>
      <c r="C130" s="246">
        <f>C114+C128</f>
        <v>1300722.8711140999</v>
      </c>
      <c r="D130" s="247">
        <f>D114+D128</f>
        <v>1288221.0009999999</v>
      </c>
      <c r="E130" s="248">
        <f>E114+E128</f>
        <v>1253027.4033200999</v>
      </c>
      <c r="F130" s="248" t="e">
        <f>F114+F128</f>
        <v>#REF!</v>
      </c>
      <c r="G130" s="249" t="e">
        <f>F130-D130</f>
        <v>#REF!</v>
      </c>
      <c r="H130" s="248">
        <f>H114+H128</f>
        <v>2900729.0500199995</v>
      </c>
      <c r="I130" s="248">
        <f>I114+I128</f>
        <v>3011542.7000199994</v>
      </c>
      <c r="J130" s="473">
        <f>J114+J128</f>
        <v>3761690.9299999997</v>
      </c>
      <c r="K130" s="250"/>
      <c r="L130" s="250">
        <f>L114+L128</f>
        <v>5861614</v>
      </c>
      <c r="M130" s="81"/>
      <c r="N130" s="92">
        <f>IF(N126+Revenue!E9&lt;0,0,N126+Revenue!E9)</f>
        <v>112810.21503411327</v>
      </c>
      <c r="O130" s="92" t="s">
        <v>329</v>
      </c>
    </row>
    <row r="131" spans="1:15" s="73" customFormat="1" ht="15" hidden="1" thickBot="1" x14ac:dyDescent="0.35">
      <c r="A131" s="75"/>
      <c r="B131" s="140" t="s">
        <v>330</v>
      </c>
      <c r="C131" s="84" t="e">
        <f>Revenue!#REF!</f>
        <v>#REF!</v>
      </c>
      <c r="D131" s="84" t="e">
        <f>Revenue!#REF!</f>
        <v>#REF!</v>
      </c>
      <c r="E131" s="84">
        <f>Revenue!C88</f>
        <v>1224174.7601200999</v>
      </c>
      <c r="F131" s="84">
        <f>Revenue!D88</f>
        <v>1294397.3368199696</v>
      </c>
      <c r="G131" s="84"/>
      <c r="H131" s="264">
        <f>Revenue!E88</f>
        <v>3419814</v>
      </c>
      <c r="I131" s="84" t="e">
        <f>Revenue!F88</f>
        <v>#REF!</v>
      </c>
      <c r="J131" s="474">
        <f>Revenue!D88</f>
        <v>1294397.3368199696</v>
      </c>
      <c r="K131" s="175"/>
      <c r="L131" s="175" t="e">
        <f>Revenue!F88</f>
        <v>#REF!</v>
      </c>
      <c r="N131" s="92">
        <f>N124-147009.21</f>
        <v>60590.790000000008</v>
      </c>
      <c r="O131" s="92" t="s">
        <v>331</v>
      </c>
    </row>
    <row r="132" spans="1:15" s="74" customFormat="1" ht="15" hidden="1" thickBot="1" x14ac:dyDescent="0.35">
      <c r="A132" s="76"/>
      <c r="B132" s="141" t="s">
        <v>200</v>
      </c>
      <c r="C132" s="85" t="e">
        <f>C131-C130</f>
        <v>#REF!</v>
      </c>
      <c r="D132" s="85" t="e">
        <f>D131-D130</f>
        <v>#REF!</v>
      </c>
      <c r="E132" s="85">
        <f>E131-E130</f>
        <v>-28852.64320000005</v>
      </c>
      <c r="F132" s="85" t="e">
        <f>F131-F130</f>
        <v>#REF!</v>
      </c>
      <c r="G132" s="86"/>
      <c r="H132" s="265">
        <f>H131-H130</f>
        <v>519084.9499800005</v>
      </c>
      <c r="I132" s="85" t="e">
        <f>I131-I130</f>
        <v>#REF!</v>
      </c>
      <c r="J132" s="475">
        <f>J131-J130</f>
        <v>-2467293.5931800301</v>
      </c>
      <c r="K132" s="142"/>
      <c r="L132" s="142" t="e">
        <f>L131-L130</f>
        <v>#REF!</v>
      </c>
      <c r="N132" s="92">
        <f>N130-N131</f>
        <v>52219.425034113257</v>
      </c>
      <c r="O132" s="92" t="s">
        <v>332</v>
      </c>
    </row>
    <row r="133" spans="1:15" hidden="1" x14ac:dyDescent="0.3">
      <c r="A133" s="87"/>
      <c r="B133" s="87" t="s">
        <v>333</v>
      </c>
      <c r="C133" s="88">
        <f>C117-11098.09</f>
        <v>10343.779999999999</v>
      </c>
      <c r="E133" s="87"/>
      <c r="F133" s="87"/>
      <c r="G133" s="87"/>
      <c r="I133" s="87"/>
      <c r="J133" s="476"/>
      <c r="K133" s="87"/>
      <c r="L133" s="87"/>
    </row>
    <row r="134" spans="1:15" ht="18" hidden="1" x14ac:dyDescent="0.35">
      <c r="A134" s="87"/>
      <c r="B134" s="87" t="s">
        <v>334</v>
      </c>
      <c r="C134" s="88" t="e">
        <f>C132-C133</f>
        <v>#REF!</v>
      </c>
      <c r="E134" s="87"/>
      <c r="F134" s="87"/>
      <c r="G134" s="87" t="e">
        <f>F130/J130</f>
        <v>#REF!</v>
      </c>
      <c r="I134" s="87"/>
      <c r="J134" s="476"/>
      <c r="K134" s="87"/>
      <c r="L134" s="87"/>
      <c r="O134" s="2"/>
    </row>
    <row r="135" spans="1:15" x14ac:dyDescent="0.3">
      <c r="G135" t="e">
        <f>J130/F130</f>
        <v>#REF!</v>
      </c>
      <c r="J135" s="511"/>
    </row>
    <row r="136" spans="1:15" x14ac:dyDescent="0.3">
      <c r="B136" s="610"/>
      <c r="C136" s="610"/>
      <c r="D136" s="611"/>
      <c r="E136" s="610"/>
      <c r="F136" s="610"/>
      <c r="G136" s="610"/>
      <c r="H136" s="612"/>
      <c r="I136" s="610"/>
      <c r="J136" s="610"/>
    </row>
    <row r="137" spans="1:15" x14ac:dyDescent="0.3">
      <c r="B137" s="610"/>
      <c r="C137" s="610"/>
      <c r="D137" s="611"/>
      <c r="E137" s="610"/>
      <c r="F137" s="610"/>
      <c r="G137" s="610"/>
      <c r="H137" s="612"/>
      <c r="I137" s="610"/>
      <c r="J137" s="610"/>
    </row>
    <row r="138" spans="1:15" x14ac:dyDescent="0.3">
      <c r="B138" s="610"/>
      <c r="C138" s="610"/>
      <c r="D138" s="611"/>
      <c r="E138" s="610"/>
      <c r="F138" s="610"/>
      <c r="G138" s="610"/>
      <c r="H138" s="612"/>
      <c r="I138" s="610"/>
      <c r="J138" s="610"/>
    </row>
    <row r="139" spans="1:15" x14ac:dyDescent="0.3">
      <c r="B139" s="610"/>
      <c r="C139" s="610"/>
      <c r="D139" s="611"/>
      <c r="E139" s="610"/>
      <c r="F139" s="610"/>
      <c r="G139" s="610"/>
      <c r="H139" s="612"/>
      <c r="I139" s="610"/>
      <c r="J139" s="610"/>
    </row>
    <row r="140" spans="1:15" x14ac:dyDescent="0.3">
      <c r="B140" s="610"/>
      <c r="C140" s="610"/>
      <c r="D140" s="611"/>
      <c r="E140" s="610"/>
      <c r="F140" s="610"/>
      <c r="G140" s="610"/>
      <c r="H140" s="612"/>
      <c r="I140" s="610"/>
      <c r="J140" s="610"/>
    </row>
    <row r="141" spans="1:15" x14ac:dyDescent="0.3">
      <c r="B141" s="610"/>
      <c r="C141" s="610"/>
      <c r="D141" s="611"/>
      <c r="E141" s="610"/>
      <c r="F141" s="610"/>
      <c r="G141" s="610"/>
      <c r="H141" s="612"/>
      <c r="I141" s="610"/>
      <c r="J141" s="610"/>
    </row>
    <row r="142" spans="1:15" x14ac:dyDescent="0.3">
      <c r="B142" s="610"/>
      <c r="C142" s="610"/>
      <c r="D142" s="611"/>
      <c r="E142" s="610"/>
      <c r="F142" s="610"/>
      <c r="G142" s="610"/>
      <c r="H142" s="612"/>
      <c r="I142" s="610"/>
      <c r="J142" s="610"/>
    </row>
    <row r="143" spans="1:15" x14ac:dyDescent="0.3">
      <c r="B143" s="610"/>
      <c r="C143" s="610"/>
      <c r="D143" s="611"/>
      <c r="E143" s="610"/>
      <c r="F143" s="610"/>
      <c r="G143" s="610"/>
      <c r="H143" s="612"/>
      <c r="I143" s="610"/>
      <c r="J143" s="610"/>
    </row>
    <row r="144" spans="1:15" x14ac:dyDescent="0.3">
      <c r="B144" s="610"/>
      <c r="C144" s="610"/>
      <c r="D144" s="611"/>
      <c r="E144" s="610"/>
      <c r="F144" s="610"/>
      <c r="G144" s="610"/>
      <c r="H144" s="612"/>
      <c r="I144" s="610"/>
      <c r="J144" s="610"/>
    </row>
    <row r="145" spans="2:15" x14ac:dyDescent="0.3">
      <c r="B145" s="610"/>
      <c r="C145" s="610"/>
      <c r="D145" s="611"/>
      <c r="E145" s="610"/>
      <c r="F145" s="610"/>
      <c r="G145" s="610"/>
      <c r="H145" s="612"/>
      <c r="I145" s="610"/>
      <c r="J145" s="610"/>
      <c r="O145" s="81"/>
    </row>
    <row r="146" spans="2:15" x14ac:dyDescent="0.3">
      <c r="B146" s="610"/>
      <c r="C146" s="610"/>
      <c r="D146" s="611"/>
      <c r="E146" s="610"/>
      <c r="F146" s="610"/>
      <c r="G146" s="610"/>
      <c r="H146" s="612"/>
      <c r="I146" s="610"/>
      <c r="J146" s="610"/>
      <c r="O146" s="81"/>
    </row>
    <row r="147" spans="2:15" x14ac:dyDescent="0.3">
      <c r="B147" s="610"/>
      <c r="C147" s="610"/>
      <c r="D147" s="611"/>
      <c r="E147" s="610"/>
      <c r="F147" s="610"/>
      <c r="G147" s="610"/>
      <c r="H147" s="612"/>
      <c r="I147" s="610"/>
      <c r="J147" s="610"/>
      <c r="O147" s="81"/>
    </row>
    <row r="148" spans="2:15" x14ac:dyDescent="0.3">
      <c r="B148" s="610"/>
      <c r="C148" s="610"/>
      <c r="D148" s="611"/>
      <c r="E148" s="610"/>
      <c r="F148" s="610"/>
      <c r="G148" s="610"/>
      <c r="H148" s="612"/>
      <c r="I148" s="610"/>
      <c r="J148" s="610"/>
      <c r="O148" s="81"/>
    </row>
    <row r="149" spans="2:15" x14ac:dyDescent="0.3">
      <c r="B149" s="610"/>
      <c r="C149" s="610"/>
      <c r="D149" s="611"/>
      <c r="E149" s="610"/>
      <c r="F149" s="610"/>
      <c r="G149" s="610"/>
      <c r="H149" s="612"/>
      <c r="I149" s="610"/>
      <c r="J149" s="610"/>
      <c r="O149" s="81"/>
    </row>
    <row r="150" spans="2:15" x14ac:dyDescent="0.3">
      <c r="B150" s="610"/>
      <c r="C150" s="610"/>
      <c r="D150" s="611"/>
      <c r="E150" s="610"/>
      <c r="F150" s="610"/>
      <c r="G150" s="610"/>
      <c r="H150" s="612"/>
      <c r="I150" s="610"/>
      <c r="J150" s="610"/>
      <c r="O150" s="81"/>
    </row>
    <row r="151" spans="2:15" x14ac:dyDescent="0.3">
      <c r="B151" s="610"/>
      <c r="C151" s="610"/>
      <c r="D151" s="611"/>
      <c r="E151" s="610"/>
      <c r="F151" s="610"/>
      <c r="G151" s="610"/>
      <c r="H151" s="612"/>
      <c r="I151" s="610"/>
      <c r="J151" s="610"/>
      <c r="O151" s="81"/>
    </row>
    <row r="152" spans="2:15" x14ac:dyDescent="0.3">
      <c r="B152" s="610"/>
      <c r="C152" s="610"/>
      <c r="D152" s="611"/>
      <c r="E152" s="610"/>
      <c r="F152" s="610"/>
      <c r="G152" s="610"/>
      <c r="H152" s="612"/>
      <c r="I152" s="610"/>
      <c r="J152" s="610"/>
      <c r="O152" s="81"/>
    </row>
    <row r="153" spans="2:15" x14ac:dyDescent="0.3">
      <c r="B153" s="610"/>
      <c r="C153" s="610"/>
      <c r="D153" s="611"/>
      <c r="E153" s="610"/>
      <c r="F153" s="610"/>
      <c r="G153" s="610"/>
      <c r="H153" s="612"/>
      <c r="I153" s="610"/>
      <c r="J153" s="610"/>
      <c r="O153" s="81"/>
    </row>
    <row r="154" spans="2:15" x14ac:dyDescent="0.3">
      <c r="B154" s="610"/>
      <c r="C154" s="610"/>
      <c r="D154" s="611"/>
      <c r="E154" s="610"/>
      <c r="F154" s="610"/>
      <c r="G154" s="610"/>
      <c r="H154" s="612"/>
      <c r="I154" s="610"/>
      <c r="J154" s="610"/>
      <c r="O154" s="81"/>
    </row>
    <row r="155" spans="2:15" x14ac:dyDescent="0.3">
      <c r="B155" s="610"/>
      <c r="C155" s="610"/>
      <c r="D155" s="611"/>
      <c r="E155" s="610"/>
      <c r="F155" s="610"/>
      <c r="G155" s="610"/>
      <c r="H155" s="612"/>
      <c r="I155" s="610"/>
      <c r="J155" s="610"/>
      <c r="O155" s="81"/>
    </row>
    <row r="156" spans="2:15" x14ac:dyDescent="0.3">
      <c r="B156" s="610"/>
      <c r="C156" s="610"/>
      <c r="D156" s="611"/>
      <c r="E156" s="610"/>
      <c r="F156" s="610"/>
      <c r="G156" s="610"/>
      <c r="H156" s="612"/>
      <c r="I156" s="610"/>
      <c r="J156" s="610"/>
      <c r="O156" s="81"/>
    </row>
    <row r="157" spans="2:15" x14ac:dyDescent="0.3">
      <c r="B157" s="610"/>
      <c r="C157" s="610"/>
      <c r="D157" s="611"/>
      <c r="E157" s="610"/>
      <c r="F157" s="610"/>
      <c r="G157" s="610"/>
      <c r="H157" s="612"/>
      <c r="I157" s="610"/>
      <c r="J157" s="610"/>
      <c r="O157" s="81"/>
    </row>
    <row r="158" spans="2:15" x14ac:dyDescent="0.3">
      <c r="B158" s="610"/>
      <c r="C158" s="610"/>
      <c r="D158" s="611"/>
      <c r="E158" s="610"/>
      <c r="F158" s="610"/>
      <c r="G158" s="610"/>
      <c r="H158" s="612"/>
      <c r="I158" s="610"/>
      <c r="J158" s="610"/>
      <c r="O158" s="81"/>
    </row>
    <row r="159" spans="2:15" x14ac:dyDescent="0.3">
      <c r="B159" s="610"/>
      <c r="C159" s="610"/>
      <c r="D159" s="611"/>
      <c r="E159" s="610"/>
      <c r="F159" s="610"/>
      <c r="G159" s="610"/>
      <c r="H159" s="612"/>
      <c r="I159" s="610"/>
      <c r="J159" s="610"/>
      <c r="O159" s="81"/>
    </row>
    <row r="160" spans="2:15" x14ac:dyDescent="0.3">
      <c r="B160" s="610"/>
      <c r="C160" s="610"/>
      <c r="D160" s="611"/>
      <c r="E160" s="610"/>
      <c r="F160" s="610"/>
      <c r="G160" s="610"/>
      <c r="H160" s="612"/>
      <c r="I160" s="610"/>
      <c r="J160" s="610"/>
      <c r="O160" s="81"/>
    </row>
    <row r="161" spans="2:15" x14ac:dyDescent="0.3">
      <c r="B161" s="610"/>
      <c r="C161" s="610"/>
      <c r="D161" s="611"/>
      <c r="E161" s="610"/>
      <c r="F161" s="610"/>
      <c r="G161" s="610"/>
      <c r="H161" s="612"/>
      <c r="I161" s="610"/>
      <c r="J161" s="610"/>
      <c r="O161" s="81"/>
    </row>
    <row r="162" spans="2:15" x14ac:dyDescent="0.3">
      <c r="B162" s="610"/>
      <c r="C162" s="610"/>
      <c r="D162" s="611"/>
      <c r="E162" s="610"/>
      <c r="F162" s="610"/>
      <c r="G162" s="610"/>
      <c r="H162" s="612"/>
      <c r="I162" s="610"/>
      <c r="J162" s="610"/>
    </row>
    <row r="163" spans="2:15" x14ac:dyDescent="0.3">
      <c r="B163" s="610"/>
      <c r="C163" s="610"/>
      <c r="D163" s="611"/>
      <c r="E163" s="610"/>
      <c r="F163" s="610"/>
      <c r="G163" s="610"/>
      <c r="H163" s="612"/>
      <c r="I163" s="610"/>
      <c r="J163" s="610"/>
    </row>
    <row r="164" spans="2:15" x14ac:dyDescent="0.3">
      <c r="B164" s="610"/>
      <c r="C164" s="610"/>
      <c r="D164" s="611"/>
      <c r="E164" s="610"/>
      <c r="F164" s="610"/>
      <c r="G164" s="610"/>
      <c r="H164" s="612"/>
      <c r="I164" s="610"/>
      <c r="J164" s="610"/>
    </row>
    <row r="165" spans="2:15" x14ac:dyDescent="0.3">
      <c r="B165" s="610"/>
      <c r="C165" s="610"/>
      <c r="D165" s="611"/>
      <c r="E165" s="610"/>
      <c r="F165" s="610"/>
      <c r="G165" s="610"/>
      <c r="H165" s="612"/>
      <c r="I165" s="610"/>
      <c r="J165" s="610"/>
      <c r="O165" s="73"/>
    </row>
    <row r="166" spans="2:15" x14ac:dyDescent="0.3">
      <c r="B166" s="610"/>
      <c r="C166" s="610"/>
      <c r="D166" s="611"/>
      <c r="E166" s="610"/>
      <c r="F166" s="610"/>
      <c r="G166" s="610"/>
      <c r="H166" s="612"/>
      <c r="I166" s="610"/>
      <c r="J166" s="610"/>
      <c r="O166" s="74"/>
    </row>
    <row r="167" spans="2:15" x14ac:dyDescent="0.3">
      <c r="B167" s="610"/>
      <c r="C167" s="610"/>
      <c r="D167" s="611"/>
      <c r="E167" s="610"/>
      <c r="F167" s="610"/>
      <c r="G167" s="610"/>
      <c r="H167" s="612"/>
      <c r="I167" s="610"/>
      <c r="J167" s="610"/>
    </row>
    <row r="168" spans="2:15" x14ac:dyDescent="0.3">
      <c r="B168" s="610"/>
      <c r="C168" s="610"/>
      <c r="D168" s="611"/>
      <c r="E168" s="610"/>
      <c r="F168" s="610"/>
      <c r="G168" s="610"/>
      <c r="H168" s="612"/>
      <c r="I168" s="610"/>
      <c r="J168" s="610"/>
    </row>
    <row r="169" spans="2:15" x14ac:dyDescent="0.3">
      <c r="B169" s="610"/>
      <c r="C169" s="610"/>
      <c r="D169" s="611"/>
      <c r="E169" s="610"/>
      <c r="F169" s="610"/>
      <c r="G169" s="610"/>
      <c r="H169" s="612"/>
      <c r="I169" s="610"/>
      <c r="J169" s="610"/>
    </row>
    <row r="170" spans="2:15" x14ac:dyDescent="0.3">
      <c r="B170" s="610"/>
      <c r="C170" s="610"/>
      <c r="D170" s="611"/>
      <c r="E170" s="610"/>
      <c r="F170" s="610"/>
      <c r="G170" s="610"/>
      <c r="H170" s="612"/>
      <c r="I170" s="610"/>
      <c r="J170" s="610"/>
    </row>
    <row r="171" spans="2:15" x14ac:dyDescent="0.3">
      <c r="B171" s="610"/>
      <c r="C171" s="610"/>
      <c r="D171" s="611"/>
      <c r="E171" s="610"/>
      <c r="F171" s="610"/>
      <c r="G171" s="610"/>
      <c r="H171" s="612"/>
      <c r="I171" s="610"/>
      <c r="J171" s="610"/>
    </row>
    <row r="172" spans="2:15" x14ac:dyDescent="0.3">
      <c r="B172" s="610"/>
      <c r="C172" s="610"/>
      <c r="D172" s="611"/>
      <c r="E172" s="610"/>
      <c r="F172" s="610"/>
      <c r="G172" s="610"/>
      <c r="H172" s="612"/>
      <c r="I172" s="610"/>
      <c r="J172" s="610"/>
    </row>
    <row r="173" spans="2:15" x14ac:dyDescent="0.3">
      <c r="B173" s="610"/>
      <c r="C173" s="610"/>
      <c r="D173" s="611"/>
      <c r="E173" s="610"/>
      <c r="F173" s="610"/>
      <c r="G173" s="610"/>
      <c r="H173" s="612"/>
      <c r="I173" s="610"/>
      <c r="J173" s="610"/>
    </row>
    <row r="174" spans="2:15" x14ac:dyDescent="0.3">
      <c r="B174" s="610"/>
      <c r="C174" s="610"/>
      <c r="D174" s="611"/>
      <c r="E174" s="610"/>
      <c r="F174" s="610"/>
      <c r="G174" s="610"/>
      <c r="H174" s="612"/>
      <c r="I174" s="610"/>
      <c r="J174" s="610"/>
    </row>
    <row r="175" spans="2:15" x14ac:dyDescent="0.3">
      <c r="B175" s="610"/>
      <c r="C175" s="610"/>
      <c r="D175" s="611"/>
      <c r="E175" s="610"/>
      <c r="F175" s="610"/>
      <c r="G175" s="610"/>
      <c r="H175" s="612"/>
      <c r="I175" s="610"/>
      <c r="J175" s="610"/>
    </row>
    <row r="176" spans="2:15" x14ac:dyDescent="0.3">
      <c r="B176" s="610"/>
      <c r="C176" s="610"/>
      <c r="D176" s="611"/>
      <c r="E176" s="610"/>
      <c r="F176" s="610"/>
      <c r="G176" s="610"/>
      <c r="H176" s="612"/>
      <c r="I176" s="610"/>
      <c r="J176" s="610"/>
    </row>
    <row r="177" spans="2:10" x14ac:dyDescent="0.3">
      <c r="B177" s="610"/>
      <c r="C177" s="610"/>
      <c r="D177" s="611"/>
      <c r="E177" s="610"/>
      <c r="F177" s="610"/>
      <c r="G177" s="610"/>
      <c r="H177" s="612"/>
      <c r="I177" s="610"/>
      <c r="J177" s="610"/>
    </row>
    <row r="178" spans="2:10" x14ac:dyDescent="0.3">
      <c r="B178" s="610"/>
      <c r="C178" s="610"/>
      <c r="D178" s="611"/>
      <c r="E178" s="610"/>
      <c r="F178" s="610"/>
      <c r="G178" s="610"/>
      <c r="H178" s="612"/>
      <c r="I178" s="610"/>
      <c r="J178" s="610"/>
    </row>
    <row r="179" spans="2:10" x14ac:dyDescent="0.3">
      <c r="B179" s="610"/>
      <c r="C179" s="610"/>
      <c r="D179" s="611"/>
      <c r="E179" s="610"/>
      <c r="F179" s="610"/>
      <c r="G179" s="610"/>
      <c r="H179" s="612"/>
      <c r="I179" s="610"/>
      <c r="J179" s="610"/>
    </row>
    <row r="180" spans="2:10" x14ac:dyDescent="0.3">
      <c r="B180" s="610"/>
      <c r="C180" s="610"/>
      <c r="D180" s="611"/>
      <c r="E180" s="610"/>
      <c r="F180" s="610"/>
      <c r="G180" s="610"/>
      <c r="H180" s="612"/>
      <c r="I180" s="610"/>
      <c r="J180" s="610"/>
    </row>
    <row r="181" spans="2:10" x14ac:dyDescent="0.3">
      <c r="B181" s="610"/>
      <c r="C181" s="610"/>
      <c r="D181" s="611"/>
      <c r="E181" s="610"/>
      <c r="F181" s="610"/>
      <c r="G181" s="610"/>
      <c r="H181" s="612"/>
      <c r="I181" s="610"/>
      <c r="J181" s="610"/>
    </row>
    <row r="182" spans="2:10" x14ac:dyDescent="0.3">
      <c r="B182" s="610"/>
      <c r="C182" s="610"/>
      <c r="D182" s="611"/>
      <c r="E182" s="610"/>
      <c r="F182" s="610"/>
      <c r="G182" s="610"/>
      <c r="H182" s="612"/>
      <c r="I182" s="610"/>
      <c r="J182" s="610"/>
    </row>
    <row r="183" spans="2:10" x14ac:dyDescent="0.3">
      <c r="B183" s="610"/>
      <c r="C183" s="610"/>
      <c r="D183" s="611"/>
      <c r="E183" s="610"/>
      <c r="F183" s="610"/>
      <c r="G183" s="610"/>
      <c r="H183" s="612"/>
      <c r="I183" s="610"/>
      <c r="J183" s="610"/>
    </row>
    <row r="184" spans="2:10" x14ac:dyDescent="0.3">
      <c r="B184" s="610"/>
      <c r="C184" s="610"/>
      <c r="D184" s="611"/>
      <c r="E184" s="610"/>
      <c r="F184" s="610"/>
      <c r="G184" s="610"/>
      <c r="H184" s="612"/>
      <c r="I184" s="610"/>
      <c r="J184" s="610"/>
    </row>
    <row r="185" spans="2:10" x14ac:dyDescent="0.3">
      <c r="B185" s="610"/>
      <c r="C185" s="610"/>
      <c r="D185" s="611"/>
      <c r="E185" s="610"/>
      <c r="F185" s="610"/>
      <c r="G185" s="610"/>
      <c r="H185" s="612"/>
      <c r="I185" s="610"/>
      <c r="J185" s="610"/>
    </row>
    <row r="186" spans="2:10" x14ac:dyDescent="0.3">
      <c r="B186" s="610"/>
      <c r="C186" s="610"/>
      <c r="D186" s="611"/>
      <c r="E186" s="610"/>
      <c r="F186" s="610"/>
      <c r="G186" s="610"/>
      <c r="H186" s="612"/>
      <c r="I186" s="610"/>
      <c r="J186" s="610"/>
    </row>
    <row r="187" spans="2:10" x14ac:dyDescent="0.3">
      <c r="B187" s="610"/>
      <c r="C187" s="610"/>
      <c r="D187" s="611"/>
      <c r="E187" s="610"/>
      <c r="F187" s="610"/>
      <c r="G187" s="610"/>
      <c r="H187" s="612"/>
      <c r="I187" s="610"/>
      <c r="J187" s="610"/>
    </row>
    <row r="188" spans="2:10" x14ac:dyDescent="0.3">
      <c r="B188" s="610"/>
      <c r="C188" s="610"/>
      <c r="D188" s="611"/>
      <c r="E188" s="610"/>
      <c r="F188" s="610"/>
      <c r="G188" s="610"/>
      <c r="H188" s="612"/>
      <c r="I188" s="610"/>
      <c r="J188" s="610"/>
    </row>
    <row r="189" spans="2:10" x14ac:dyDescent="0.3">
      <c r="B189" s="610"/>
      <c r="C189" s="610"/>
      <c r="D189" s="611"/>
      <c r="E189" s="610"/>
      <c r="F189" s="610"/>
      <c r="G189" s="610"/>
      <c r="H189" s="612"/>
      <c r="I189" s="610"/>
      <c r="J189" s="610"/>
    </row>
    <row r="190" spans="2:10" x14ac:dyDescent="0.3">
      <c r="B190" s="610"/>
      <c r="C190" s="610"/>
      <c r="D190" s="611"/>
      <c r="E190" s="610"/>
      <c r="F190" s="610"/>
      <c r="G190" s="610"/>
      <c r="H190" s="612"/>
      <c r="I190" s="610"/>
      <c r="J190" s="610"/>
    </row>
    <row r="191" spans="2:10" x14ac:dyDescent="0.3">
      <c r="B191" s="610"/>
      <c r="C191" s="610"/>
      <c r="D191" s="611"/>
      <c r="E191" s="610"/>
      <c r="F191" s="610"/>
      <c r="G191" s="610"/>
      <c r="H191" s="612"/>
      <c r="I191" s="610"/>
      <c r="J191" s="610"/>
    </row>
    <row r="192" spans="2:10" x14ac:dyDescent="0.3">
      <c r="B192" s="610"/>
      <c r="C192" s="610"/>
      <c r="D192" s="611"/>
      <c r="E192" s="610"/>
      <c r="F192" s="610"/>
      <c r="G192" s="610"/>
      <c r="H192" s="612"/>
      <c r="I192" s="610"/>
      <c r="J192" s="610"/>
    </row>
    <row r="193" spans="2:10" x14ac:dyDescent="0.3">
      <c r="B193" s="610"/>
      <c r="C193" s="610"/>
      <c r="D193" s="611"/>
      <c r="E193" s="610"/>
      <c r="F193" s="610"/>
      <c r="G193" s="610"/>
      <c r="H193" s="612"/>
      <c r="I193" s="610"/>
      <c r="J193" s="610"/>
    </row>
    <row r="194" spans="2:10" x14ac:dyDescent="0.3">
      <c r="B194" s="610"/>
      <c r="C194" s="610"/>
      <c r="D194" s="611"/>
      <c r="E194" s="610"/>
      <c r="F194" s="610"/>
      <c r="G194" s="610"/>
      <c r="H194" s="612"/>
      <c r="I194" s="610"/>
      <c r="J194" s="610"/>
    </row>
    <row r="195" spans="2:10" x14ac:dyDescent="0.3">
      <c r="B195" s="610"/>
      <c r="C195" s="610"/>
      <c r="D195" s="611"/>
      <c r="E195" s="610"/>
      <c r="F195" s="610"/>
      <c r="G195" s="610"/>
      <c r="H195" s="612"/>
      <c r="I195" s="610"/>
      <c r="J195" s="610"/>
    </row>
    <row r="196" spans="2:10" x14ac:dyDescent="0.3">
      <c r="B196" s="610"/>
      <c r="C196" s="610"/>
      <c r="D196" s="611"/>
      <c r="E196" s="610"/>
      <c r="F196" s="610"/>
      <c r="G196" s="610"/>
      <c r="H196" s="612"/>
      <c r="I196" s="610"/>
      <c r="J196" s="610"/>
    </row>
    <row r="197" spans="2:10" x14ac:dyDescent="0.3">
      <c r="B197" s="610"/>
      <c r="C197" s="610"/>
      <c r="D197" s="611"/>
      <c r="E197" s="610"/>
      <c r="F197" s="610"/>
      <c r="G197" s="610"/>
      <c r="H197" s="612"/>
      <c r="I197" s="610"/>
      <c r="J197" s="610"/>
    </row>
    <row r="198" spans="2:10" x14ac:dyDescent="0.3">
      <c r="B198" s="610"/>
      <c r="C198" s="610"/>
      <c r="D198" s="611"/>
      <c r="E198" s="610"/>
      <c r="F198" s="610"/>
      <c r="G198" s="610"/>
      <c r="H198" s="612"/>
      <c r="I198" s="610"/>
      <c r="J198" s="610"/>
    </row>
    <row r="199" spans="2:10" x14ac:dyDescent="0.3">
      <c r="B199" s="610"/>
      <c r="C199" s="610"/>
      <c r="D199" s="611"/>
      <c r="E199" s="610"/>
      <c r="F199" s="610"/>
      <c r="G199" s="610"/>
      <c r="H199" s="612"/>
      <c r="I199" s="610"/>
      <c r="J199" s="610"/>
    </row>
  </sheetData>
  <mergeCells count="2">
    <mergeCell ref="M2:N2"/>
    <mergeCell ref="Q4:U4"/>
  </mergeCells>
  <pageMargins left="0.25" right="0.25" top="0.75" bottom="0.75" header="0.3" footer="0.3"/>
  <pageSetup paperSize="5" scale="69" fitToHeight="0" orientation="portrait" r:id="rId1"/>
  <ignoredErrors>
    <ignoredError sqref="G13 G15 G23 K13 K15 K23 K42 K48 K44 K52 K54 K56 K60 K64 K66 K68 I121:J121 I14 I23:I25 I26 I74 I44:I45 I43 I49 I52:I53 I51 I68 L121 L26 L14" formula="1"/>
    <ignoredError sqref="J82" formulaRange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98D0-95A7-438A-94E7-5674CF2C0F4C}">
  <sheetPr>
    <tabColor theme="4" tint="-0.249977111117893"/>
    <outlinePr summaryBelow="0"/>
    <pageSetUpPr fitToPage="1"/>
  </sheetPr>
  <dimension ref="A1:AA133"/>
  <sheetViews>
    <sheetView showGridLines="0" zoomScale="180" zoomScaleNormal="180" workbookViewId="0">
      <pane ySplit="1" topLeftCell="A4" activePane="bottomLeft" state="frozen"/>
      <selection pane="bottomLeft" activeCell="A16" sqref="A16:XFD17"/>
    </sheetView>
  </sheetViews>
  <sheetFormatPr defaultColWidth="8.88671875" defaultRowHeight="14.4" outlineLevelRow="1" outlineLevelCol="1" x14ac:dyDescent="0.3"/>
  <cols>
    <col min="1" max="1" width="51.109375" bestFit="1" customWidth="1"/>
    <col min="2" max="2" width="17.6640625" hidden="1" customWidth="1"/>
    <col min="3" max="3" width="23.88671875" customWidth="1"/>
    <col min="4" max="4" width="0.33203125" customWidth="1" outlineLevel="1"/>
    <col min="5" max="5" width="19" customWidth="1" outlineLevel="1"/>
    <col min="6" max="6" width="17.109375" style="83" hidden="1" customWidth="1"/>
    <col min="7" max="7" width="8.88671875" hidden="1" customWidth="1"/>
    <col min="8" max="8" width="17.6640625" bestFit="1" customWidth="1"/>
    <col min="9" max="9" width="20" customWidth="1"/>
    <col min="10" max="10" width="21.44140625" customWidth="1"/>
    <col min="11" max="11" width="14.109375" bestFit="1" customWidth="1"/>
    <col min="12" max="12" width="12" bestFit="1" customWidth="1"/>
    <col min="13" max="13" width="15.44140625" bestFit="1" customWidth="1"/>
  </cols>
  <sheetData>
    <row r="1" spans="1:27" s="77" customFormat="1" ht="60.9" customHeight="1" thickBot="1" x14ac:dyDescent="0.5">
      <c r="A1" s="98" t="s">
        <v>335</v>
      </c>
      <c r="B1" s="99" t="s">
        <v>336</v>
      </c>
      <c r="C1" s="100" t="s">
        <v>337</v>
      </c>
      <c r="D1" s="101" t="s">
        <v>198</v>
      </c>
      <c r="E1" s="102" t="s">
        <v>98</v>
      </c>
      <c r="F1" s="103" t="s">
        <v>338</v>
      </c>
      <c r="G1" s="103"/>
      <c r="H1" s="163" t="s">
        <v>339</v>
      </c>
      <c r="I1" s="354" t="s">
        <v>202</v>
      </c>
      <c r="J1" s="333"/>
    </row>
    <row r="2" spans="1:27" ht="21" thickTop="1" thickBot="1" x14ac:dyDescent="0.45">
      <c r="A2" s="104" t="s">
        <v>340</v>
      </c>
      <c r="B2" s="105"/>
      <c r="C2" s="105"/>
      <c r="D2" s="105"/>
      <c r="E2" s="105"/>
      <c r="F2" s="105"/>
      <c r="G2" s="105"/>
      <c r="H2" s="164"/>
      <c r="I2" s="355">
        <v>0</v>
      </c>
      <c r="J2" s="316"/>
    </row>
    <row r="3" spans="1:27" ht="18.600000000000001" thickTop="1" thickBot="1" x14ac:dyDescent="0.4">
      <c r="A3" s="162" t="s">
        <v>34</v>
      </c>
      <c r="B3" s="162">
        <f>SUM(B4:B6)</f>
        <v>55028.639999999999</v>
      </c>
      <c r="C3" s="165">
        <f>SUM(C4:C6)</f>
        <v>86606.11</v>
      </c>
      <c r="D3" s="162">
        <f t="shared" ref="D3:E3" si="0">SUM(D4:D6)</f>
        <v>50864.98</v>
      </c>
      <c r="E3" s="166">
        <f t="shared" si="0"/>
        <v>103927.33199999999</v>
      </c>
      <c r="F3" s="162">
        <f>C3-E3</f>
        <v>-17321.221999999994</v>
      </c>
      <c r="G3" s="167"/>
      <c r="H3" s="416">
        <f>ROUNDUP(SUM(H4:H6),-2)</f>
        <v>107800</v>
      </c>
      <c r="I3" s="356">
        <f>ROUNDUP(SUM(I4:I6),-2)</f>
        <v>116900</v>
      </c>
      <c r="J3" s="317"/>
      <c r="K3" s="315">
        <f>Expenditures!M3+Expenditures!N3</f>
        <v>1.06</v>
      </c>
    </row>
    <row r="4" spans="1:27" ht="15.6" outlineLevel="1" thickTop="1" thickBot="1" x14ac:dyDescent="0.35">
      <c r="A4" s="108" t="s">
        <v>341</v>
      </c>
      <c r="B4" s="95">
        <v>55028.639999999999</v>
      </c>
      <c r="C4" s="493">
        <v>86606.11</v>
      </c>
      <c r="D4" s="95">
        <v>50864.98</v>
      </c>
      <c r="E4" s="494">
        <f>C4*1.2</f>
        <v>103927.33199999999</v>
      </c>
      <c r="F4" s="95"/>
      <c r="G4" s="95"/>
      <c r="H4" s="152">
        <v>97210.93</v>
      </c>
      <c r="I4" s="357">
        <f>'Emp Wages'!J89</f>
        <v>103635.83</v>
      </c>
      <c r="J4" s="318"/>
    </row>
    <row r="5" spans="1:27" ht="15.6" outlineLevel="1" thickTop="1" thickBot="1" x14ac:dyDescent="0.35">
      <c r="A5" s="108" t="s">
        <v>342</v>
      </c>
      <c r="B5" s="95">
        <v>0</v>
      </c>
      <c r="C5" s="493">
        <v>0</v>
      </c>
      <c r="D5" s="495">
        <v>0</v>
      </c>
      <c r="E5" s="494">
        <v>0</v>
      </c>
      <c r="F5" s="95"/>
      <c r="G5" s="95"/>
      <c r="H5" s="152">
        <v>0</v>
      </c>
      <c r="I5" s="357">
        <v>0</v>
      </c>
      <c r="J5" s="318"/>
    </row>
    <row r="6" spans="1:27" ht="15.6" outlineLevel="1" thickTop="1" thickBot="1" x14ac:dyDescent="0.35">
      <c r="A6" s="108" t="s">
        <v>343</v>
      </c>
      <c r="B6" s="95">
        <v>0</v>
      </c>
      <c r="C6" s="493">
        <v>0</v>
      </c>
      <c r="D6" s="495">
        <v>0</v>
      </c>
      <c r="E6" s="494">
        <f>C6*1.2</f>
        <v>0</v>
      </c>
      <c r="F6" s="95"/>
      <c r="G6" s="95"/>
      <c r="H6" s="152">
        <v>10494.39</v>
      </c>
      <c r="I6" s="357">
        <f>'Emp Wages'!J90</f>
        <v>13192.17</v>
      </c>
      <c r="J6" s="318"/>
    </row>
    <row r="7" spans="1:27" ht="18.600000000000001" thickTop="1" thickBot="1" x14ac:dyDescent="0.4">
      <c r="A7" s="162" t="s">
        <v>344</v>
      </c>
      <c r="B7" s="162">
        <f>B8</f>
        <v>2279.4899999999998</v>
      </c>
      <c r="C7" s="165">
        <f>C8</f>
        <v>9491.7800000000007</v>
      </c>
      <c r="D7" s="162">
        <f t="shared" ref="D7:E7" si="1">D8</f>
        <v>1073.8599999999999</v>
      </c>
      <c r="E7" s="166">
        <f t="shared" si="1"/>
        <v>12624.067400000002</v>
      </c>
      <c r="F7" s="162">
        <f>C7-E7</f>
        <v>-3132.2874000000011</v>
      </c>
      <c r="G7" s="162"/>
      <c r="H7" s="416">
        <f>ROUNDUP(H8,-2)</f>
        <v>7800</v>
      </c>
      <c r="I7" s="356">
        <f>ROUNDUP(I8,-2)</f>
        <v>11600</v>
      </c>
      <c r="J7" s="317"/>
    </row>
    <row r="8" spans="1:27" ht="18.600000000000001" outlineLevel="1" thickTop="1" thickBot="1" x14ac:dyDescent="0.4">
      <c r="A8" s="108" t="s">
        <v>345</v>
      </c>
      <c r="B8" s="95">
        <v>2279.4899999999998</v>
      </c>
      <c r="C8" s="493">
        <v>9491.7800000000007</v>
      </c>
      <c r="D8" s="95">
        <v>1073.8599999999999</v>
      </c>
      <c r="E8" s="634">
        <f>C8*1.33</f>
        <v>12624.067400000002</v>
      </c>
      <c r="F8" s="95"/>
      <c r="G8" s="95"/>
      <c r="H8" s="152">
        <v>7757.51</v>
      </c>
      <c r="I8" s="357">
        <f>'Emp Wages'!J92</f>
        <v>11547.67</v>
      </c>
      <c r="J8" s="317"/>
      <c r="W8" t="s">
        <v>346</v>
      </c>
      <c r="X8" t="s">
        <v>347</v>
      </c>
      <c r="Y8" t="s">
        <v>348</v>
      </c>
      <c r="Z8" t="s">
        <v>349</v>
      </c>
      <c r="AA8" t="s">
        <v>350</v>
      </c>
    </row>
    <row r="9" spans="1:27" ht="18.600000000000001" thickTop="1" thickBot="1" x14ac:dyDescent="0.4">
      <c r="A9" s="162" t="s">
        <v>351</v>
      </c>
      <c r="B9" s="162">
        <f>B10</f>
        <v>4209.72</v>
      </c>
      <c r="C9" s="165">
        <f>C10</f>
        <v>5357.3</v>
      </c>
      <c r="D9" s="162">
        <f t="shared" ref="D9:E9" si="2">D10</f>
        <v>3891.26</v>
      </c>
      <c r="E9" s="166">
        <f t="shared" si="2"/>
        <v>7178.7820000000011</v>
      </c>
      <c r="F9" s="162">
        <f>C9-E9</f>
        <v>-1821.4820000000009</v>
      </c>
      <c r="G9" s="162"/>
      <c r="H9" s="416">
        <f>ROUNDUP(H10,-2)</f>
        <v>8300</v>
      </c>
      <c r="I9" s="356">
        <f>ROUNDUP(I10,-2)</f>
        <v>8000</v>
      </c>
      <c r="J9" s="317"/>
    </row>
    <row r="10" spans="1:27" ht="18.600000000000001" outlineLevel="1" thickTop="1" thickBot="1" x14ac:dyDescent="0.4">
      <c r="A10" s="108" t="s">
        <v>352</v>
      </c>
      <c r="B10" s="95">
        <v>4209.72</v>
      </c>
      <c r="C10" s="493">
        <v>5357.3</v>
      </c>
      <c r="D10" s="95">
        <v>3891.26</v>
      </c>
      <c r="E10" s="634">
        <f>C10*1.34</f>
        <v>7178.7820000000011</v>
      </c>
      <c r="F10" s="95"/>
      <c r="G10" s="95"/>
      <c r="H10" s="152">
        <v>8239.4599999999991</v>
      </c>
      <c r="I10" s="357">
        <f>'Emp Wages'!J93</f>
        <v>7928.15</v>
      </c>
      <c r="J10" s="317"/>
      <c r="W10">
        <v>36.6</v>
      </c>
      <c r="X10">
        <v>1007.8</v>
      </c>
      <c r="Y10">
        <v>1577.5</v>
      </c>
      <c r="Z10">
        <v>330.83</v>
      </c>
      <c r="AA10">
        <v>823.63</v>
      </c>
    </row>
    <row r="11" spans="1:27" ht="18.600000000000001" thickTop="1" thickBot="1" x14ac:dyDescent="0.4">
      <c r="A11" s="162" t="s">
        <v>217</v>
      </c>
      <c r="B11" s="162">
        <f>B12</f>
        <v>18787.259999999998</v>
      </c>
      <c r="C11" s="165">
        <f>SUM(C12:C13)</f>
        <v>21431.67</v>
      </c>
      <c r="D11" s="162">
        <f t="shared" ref="D11" si="3">D12</f>
        <v>8874.8700000000008</v>
      </c>
      <c r="E11" s="166">
        <f>SUM(E12:E13)</f>
        <v>28504.1211</v>
      </c>
      <c r="F11" s="162">
        <f>C11-E11</f>
        <v>-7072.451100000002</v>
      </c>
      <c r="G11" s="162"/>
      <c r="H11" s="416">
        <f>ROUNDUP(SUM(H12:H13),-2)</f>
        <v>29300</v>
      </c>
      <c r="I11" s="356">
        <f>ROUNDUP(SUM(I12:I13),-2)</f>
        <v>29300</v>
      </c>
      <c r="J11" s="317"/>
      <c r="W11">
        <v>37.619999999999997</v>
      </c>
      <c r="X11">
        <v>99.8</v>
      </c>
      <c r="Y11">
        <v>1616.94</v>
      </c>
      <c r="AA11">
        <v>823.63</v>
      </c>
    </row>
    <row r="12" spans="1:27" ht="18.600000000000001" outlineLevel="1" thickTop="1" thickBot="1" x14ac:dyDescent="0.4">
      <c r="A12" s="108" t="s">
        <v>353</v>
      </c>
      <c r="B12" s="95">
        <v>18787.259999999998</v>
      </c>
      <c r="C12" s="493">
        <v>20127.759999999998</v>
      </c>
      <c r="D12" s="495">
        <v>8874.8700000000008</v>
      </c>
      <c r="E12" s="494">
        <f>C12*1.33</f>
        <v>26769.9208</v>
      </c>
      <c r="F12" s="95"/>
      <c r="G12" s="95"/>
      <c r="H12" s="152">
        <v>28008.46</v>
      </c>
      <c r="I12" s="357">
        <f>'Emp Wages'!J95</f>
        <v>28224.6</v>
      </c>
      <c r="J12" s="317"/>
      <c r="W12">
        <v>32.94</v>
      </c>
      <c r="X12">
        <v>102.3</v>
      </c>
      <c r="Y12">
        <v>1419.75</v>
      </c>
      <c r="AA12">
        <v>823.63</v>
      </c>
    </row>
    <row r="13" spans="1:27" ht="18.600000000000001" outlineLevel="1" thickTop="1" thickBot="1" x14ac:dyDescent="0.4">
      <c r="A13" s="108" t="s">
        <v>354</v>
      </c>
      <c r="B13" s="95"/>
      <c r="C13" s="493">
        <v>1303.9100000000001</v>
      </c>
      <c r="D13" s="495"/>
      <c r="E13" s="494">
        <f>C13*1.33</f>
        <v>1734.2003000000002</v>
      </c>
      <c r="F13" s="95"/>
      <c r="G13" s="95"/>
      <c r="H13" s="152">
        <v>1198.77</v>
      </c>
      <c r="I13" s="357">
        <f>'Emp Wages'!J96</f>
        <v>1065.4000000000001</v>
      </c>
      <c r="J13" s="317"/>
      <c r="X13">
        <v>1259.75</v>
      </c>
    </row>
    <row r="14" spans="1:27" ht="18.600000000000001" thickTop="1" thickBot="1" x14ac:dyDescent="0.4">
      <c r="A14" s="162" t="s">
        <v>355</v>
      </c>
      <c r="B14" s="162">
        <f>B15</f>
        <v>0</v>
      </c>
      <c r="C14" s="165">
        <f>C15</f>
        <v>4791.1499999999996</v>
      </c>
      <c r="D14" s="162">
        <f t="shared" ref="D14:E14" si="4">D15</f>
        <v>5688.8700000000008</v>
      </c>
      <c r="E14" s="166">
        <f t="shared" si="4"/>
        <v>6420.1409999999996</v>
      </c>
      <c r="F14" s="162">
        <f>C14-E14</f>
        <v>-1628.991</v>
      </c>
      <c r="G14" s="162"/>
      <c r="H14" s="416">
        <f>ROUNDUP(H15,-2)</f>
        <v>7200</v>
      </c>
      <c r="I14" s="356">
        <f>ROUNDUP(I15,-2)</f>
        <v>6700</v>
      </c>
      <c r="J14" s="317"/>
      <c r="X14">
        <v>89.92</v>
      </c>
    </row>
    <row r="15" spans="1:27" ht="15.6" outlineLevel="1" thickTop="1" thickBot="1" x14ac:dyDescent="0.35">
      <c r="A15" s="108" t="s">
        <v>356</v>
      </c>
      <c r="B15" s="95">
        <f>K11</f>
        <v>0</v>
      </c>
      <c r="C15" s="493">
        <v>4791.1499999999996</v>
      </c>
      <c r="D15" s="95">
        <f>Wages!$R$109+Wages!$D$122+Wages!$D$135+Wages!$D$148+Wages!$D$161</f>
        <v>5688.8700000000008</v>
      </c>
      <c r="E15" s="494">
        <f>C15*1.34</f>
        <v>6420.1409999999996</v>
      </c>
      <c r="F15" s="95"/>
      <c r="G15" s="95"/>
      <c r="H15" s="152">
        <v>7108.53</v>
      </c>
      <c r="I15" s="357">
        <f>18500-Expenditures!L22</f>
        <v>6660</v>
      </c>
      <c r="J15" s="318"/>
      <c r="X15">
        <v>1259.75</v>
      </c>
    </row>
    <row r="16" spans="1:27" ht="18.600000000000001" hidden="1" customHeight="1" collapsed="1" thickTop="1" thickBot="1" x14ac:dyDescent="0.4">
      <c r="A16" s="162" t="s">
        <v>357</v>
      </c>
      <c r="B16" s="162">
        <f>B17</f>
        <v>54</v>
      </c>
      <c r="C16" s="165">
        <v>0</v>
      </c>
      <c r="D16" s="162">
        <f t="shared" ref="D16:E16" si="5">D17</f>
        <v>0</v>
      </c>
      <c r="E16" s="166">
        <f t="shared" si="5"/>
        <v>0</v>
      </c>
      <c r="F16" s="162">
        <f>C16-E16</f>
        <v>0</v>
      </c>
      <c r="G16" s="162"/>
      <c r="H16" s="416">
        <v>0</v>
      </c>
      <c r="I16" s="356">
        <f>ROUNDUP(I17,-2)</f>
        <v>0</v>
      </c>
      <c r="J16" s="317"/>
    </row>
    <row r="17" spans="1:17" ht="15.6" hidden="1" customHeight="1" outlineLevel="1" thickTop="1" thickBot="1" x14ac:dyDescent="0.35">
      <c r="A17" s="108">
        <v>534.1</v>
      </c>
      <c r="B17" s="95">
        <v>54</v>
      </c>
      <c r="C17" s="493">
        <v>0</v>
      </c>
      <c r="D17" s="495">
        <v>0</v>
      </c>
      <c r="E17" s="494">
        <v>0</v>
      </c>
      <c r="F17" s="95"/>
      <c r="G17" s="95"/>
      <c r="H17" s="152"/>
      <c r="I17" s="357">
        <v>0</v>
      </c>
      <c r="J17" s="318"/>
      <c r="Q17" s="69">
        <f>E23/B23</f>
        <v>1.3472556539533178</v>
      </c>
    </row>
    <row r="18" spans="1:17" ht="18.600000000000001" thickTop="1" thickBot="1" x14ac:dyDescent="0.4">
      <c r="A18" s="162" t="s">
        <v>358</v>
      </c>
      <c r="B18" s="162">
        <f>B19</f>
        <v>0</v>
      </c>
      <c r="C18" s="165">
        <f>C19</f>
        <v>3211.59</v>
      </c>
      <c r="D18" s="162">
        <f t="shared" ref="D18:E18" si="6">D19</f>
        <v>0</v>
      </c>
      <c r="E18" s="166">
        <f t="shared" si="6"/>
        <v>4303.5306</v>
      </c>
      <c r="F18" s="162">
        <f>C18-E18</f>
        <v>-1091.9405999999999</v>
      </c>
      <c r="G18" s="162"/>
      <c r="H18" s="416">
        <f>ROUNDUP(H19,-2)</f>
        <v>3500</v>
      </c>
      <c r="I18" s="356">
        <f>ROUNDUP(I19,-2)</f>
        <v>4900</v>
      </c>
      <c r="J18" s="317"/>
    </row>
    <row r="19" spans="1:17" ht="15.6" outlineLevel="1" thickTop="1" thickBot="1" x14ac:dyDescent="0.35">
      <c r="A19" s="108" t="s">
        <v>356</v>
      </c>
      <c r="B19" s="95">
        <f>M11</f>
        <v>0</v>
      </c>
      <c r="C19" s="493">
        <v>3211.59</v>
      </c>
      <c r="D19" s="495">
        <f>M12</f>
        <v>0</v>
      </c>
      <c r="E19" s="494">
        <f>C19*1.34</f>
        <v>4303.5306</v>
      </c>
      <c r="F19" s="95"/>
      <c r="G19" s="95"/>
      <c r="H19" s="152">
        <v>3500</v>
      </c>
      <c r="I19" s="357">
        <f>(10000-Expenditures!L26)</f>
        <v>4846</v>
      </c>
      <c r="J19" s="318"/>
    </row>
    <row r="20" spans="1:17" ht="18.600000000000001" thickTop="1" thickBot="1" x14ac:dyDescent="0.4">
      <c r="A20" s="162" t="s">
        <v>359</v>
      </c>
      <c r="B20" s="162">
        <f>B21</f>
        <v>0</v>
      </c>
      <c r="C20" s="165">
        <f>C21</f>
        <v>4234.05</v>
      </c>
      <c r="D20" s="162">
        <f t="shared" ref="D20:E20" si="7">D21</f>
        <v>0</v>
      </c>
      <c r="E20" s="166">
        <f t="shared" si="7"/>
        <v>5673.6270000000004</v>
      </c>
      <c r="F20" s="162">
        <f>C20-E20</f>
        <v>-1439.5770000000002</v>
      </c>
      <c r="G20" s="162"/>
      <c r="H20" s="416">
        <f>ROUNDUP(H21,-2)</f>
        <v>6000</v>
      </c>
      <c r="I20" s="356">
        <f>ROUNDUP(I21,-2)</f>
        <v>7100</v>
      </c>
      <c r="J20" s="317"/>
    </row>
    <row r="21" spans="1:17" ht="15.6" outlineLevel="1" thickTop="1" thickBot="1" x14ac:dyDescent="0.35">
      <c r="A21" s="111" t="s">
        <v>356</v>
      </c>
      <c r="B21" s="112">
        <f>L11</f>
        <v>0</v>
      </c>
      <c r="C21" s="635">
        <v>4234.05</v>
      </c>
      <c r="D21" s="636">
        <f>L12</f>
        <v>0</v>
      </c>
      <c r="E21" s="494">
        <f>C21*1.34</f>
        <v>5673.6270000000004</v>
      </c>
      <c r="F21" s="112"/>
      <c r="G21" s="112"/>
      <c r="H21" s="153">
        <v>6000</v>
      </c>
      <c r="I21" s="358">
        <f>(14500-Expenditures!L24)</f>
        <v>7040</v>
      </c>
      <c r="J21" s="318"/>
    </row>
    <row r="22" spans="1:17" ht="18.600000000000001" thickTop="1" thickBot="1" x14ac:dyDescent="0.4">
      <c r="A22" s="162" t="s">
        <v>360</v>
      </c>
      <c r="B22" s="162">
        <f>B23</f>
        <v>8933.1299999999992</v>
      </c>
      <c r="C22" s="165">
        <v>9920.64</v>
      </c>
      <c r="D22" s="162">
        <f t="shared" ref="D22:E22" si="8">D23</f>
        <v>7888.21</v>
      </c>
      <c r="E22" s="166">
        <f t="shared" si="8"/>
        <v>12035.209900000002</v>
      </c>
      <c r="F22" s="162">
        <f>C22-E22</f>
        <v>-2114.5699000000022</v>
      </c>
      <c r="G22" s="162"/>
      <c r="H22" s="416">
        <f>ROUNDUP(H23,-2)</f>
        <v>13500</v>
      </c>
      <c r="I22" s="356">
        <f>ROUNDUP(I23,-2)</f>
        <v>13500</v>
      </c>
      <c r="J22" s="317"/>
    </row>
    <row r="23" spans="1:17" ht="15.6" outlineLevel="1" thickTop="1" thickBot="1" x14ac:dyDescent="0.35">
      <c r="A23" s="108" t="s">
        <v>361</v>
      </c>
      <c r="B23" s="95">
        <v>8933.1299999999992</v>
      </c>
      <c r="C23" s="493">
        <v>9049.0300000000007</v>
      </c>
      <c r="D23" s="495">
        <v>7888.21</v>
      </c>
      <c r="E23" s="494">
        <f>C23*1.33</f>
        <v>12035.209900000002</v>
      </c>
      <c r="F23" s="95"/>
      <c r="G23" s="95"/>
      <c r="H23" s="152">
        <v>13500</v>
      </c>
      <c r="I23" s="357">
        <v>13500</v>
      </c>
      <c r="J23" s="318"/>
    </row>
    <row r="24" spans="1:17" ht="18.600000000000001" thickTop="1" thickBot="1" x14ac:dyDescent="0.4">
      <c r="A24" s="162" t="s">
        <v>362</v>
      </c>
      <c r="B24" s="162">
        <f>B25</f>
        <v>25510.55</v>
      </c>
      <c r="C24" s="165">
        <v>19927.79</v>
      </c>
      <c r="D24" s="162">
        <f t="shared" ref="D24:E24" si="9">D25</f>
        <v>20108.66</v>
      </c>
      <c r="E24" s="166">
        <f t="shared" si="9"/>
        <v>28797.452600000004</v>
      </c>
      <c r="F24" s="162">
        <f>C24-E24</f>
        <v>-8869.6626000000033</v>
      </c>
      <c r="G24" s="162"/>
      <c r="H24" s="416">
        <f>ROUNDUP(H25,-2)</f>
        <v>31000</v>
      </c>
      <c r="I24" s="356">
        <f>ROUNDUP(I25,-2)</f>
        <v>31000</v>
      </c>
      <c r="J24" s="317"/>
    </row>
    <row r="25" spans="1:17" ht="15.6" outlineLevel="1" thickTop="1" thickBot="1" x14ac:dyDescent="0.35">
      <c r="A25" s="108" t="s">
        <v>363</v>
      </c>
      <c r="B25" s="95">
        <f>27510.55-2000</f>
        <v>25510.55</v>
      </c>
      <c r="C25" s="493">
        <f>23652.22-2000</f>
        <v>21652.22</v>
      </c>
      <c r="D25" s="95">
        <v>20108.66</v>
      </c>
      <c r="E25" s="494">
        <f>C25*1.33</f>
        <v>28797.452600000004</v>
      </c>
      <c r="F25" s="95"/>
      <c r="G25" s="95"/>
      <c r="H25" s="152">
        <v>31000</v>
      </c>
      <c r="I25" s="357">
        <v>31000</v>
      </c>
      <c r="J25" s="318"/>
    </row>
    <row r="26" spans="1:17" ht="18.600000000000001" thickTop="1" thickBot="1" x14ac:dyDescent="0.4">
      <c r="A26" s="162" t="s">
        <v>364</v>
      </c>
      <c r="B26" s="162">
        <v>13623</v>
      </c>
      <c r="C26" s="165">
        <v>11517.33</v>
      </c>
      <c r="D26" s="167">
        <f>ROUNDUP(SUM(D36,D33,D30,D27),-2)</f>
        <v>0</v>
      </c>
      <c r="E26" s="166">
        <f>E29+E32+E35+E38</f>
        <v>15619.888000000001</v>
      </c>
      <c r="F26" s="162">
        <f>C26-E26</f>
        <v>-4102.5580000000009</v>
      </c>
      <c r="G26" s="162"/>
      <c r="H26" s="416">
        <v>14000</v>
      </c>
      <c r="I26" s="356">
        <f>+I29+I32+I35+I38</f>
        <v>16250</v>
      </c>
      <c r="J26" s="317" t="s">
        <v>365</v>
      </c>
      <c r="K26" s="69"/>
      <c r="L26" s="69"/>
      <c r="M26" s="69"/>
    </row>
    <row r="27" spans="1:17" s="132" customFormat="1" ht="15.6" thickTop="1" thickBot="1" x14ac:dyDescent="0.35">
      <c r="A27" s="129" t="s">
        <v>366</v>
      </c>
      <c r="B27" s="130">
        <f>B28+B29</f>
        <v>5145</v>
      </c>
      <c r="C27" s="154"/>
      <c r="D27" s="130"/>
      <c r="E27" s="143"/>
      <c r="F27" s="131">
        <f>C27-E27</f>
        <v>0</v>
      </c>
      <c r="G27" s="130"/>
      <c r="H27" s="417"/>
      <c r="I27" s="359"/>
      <c r="J27" s="319" t="s">
        <v>367</v>
      </c>
      <c r="K27" s="639"/>
      <c r="L27" s="69"/>
      <c r="M27" s="69"/>
    </row>
    <row r="28" spans="1:17" ht="15.6" hidden="1" outlineLevel="1" thickTop="1" thickBot="1" x14ac:dyDescent="0.35">
      <c r="A28" s="113" t="s">
        <v>368</v>
      </c>
      <c r="B28" s="114">
        <v>0</v>
      </c>
      <c r="C28" s="488">
        <v>0</v>
      </c>
      <c r="D28" s="489">
        <v>0</v>
      </c>
      <c r="E28" s="497">
        <v>0</v>
      </c>
      <c r="F28" s="114"/>
      <c r="G28" s="114"/>
      <c r="H28" s="418"/>
      <c r="I28" s="360">
        <v>0</v>
      </c>
      <c r="J28" s="320"/>
    </row>
    <row r="29" spans="1:17" ht="15.6" outlineLevel="1" thickTop="1" thickBot="1" x14ac:dyDescent="0.35">
      <c r="A29" s="113" t="s">
        <v>369</v>
      </c>
      <c r="B29" s="114">
        <v>5145</v>
      </c>
      <c r="C29" s="488">
        <v>750</v>
      </c>
      <c r="D29" s="489">
        <v>0</v>
      </c>
      <c r="E29" s="497">
        <v>1500</v>
      </c>
      <c r="F29" s="114"/>
      <c r="G29" s="114"/>
      <c r="H29" s="418">
        <v>1500</v>
      </c>
      <c r="I29" s="360">
        <v>1500</v>
      </c>
      <c r="J29" s="320"/>
    </row>
    <row r="30" spans="1:17" s="132" customFormat="1" ht="15" thickBot="1" x14ac:dyDescent="0.35">
      <c r="A30" s="133" t="s">
        <v>370</v>
      </c>
      <c r="B30" s="131">
        <f>SUM(B31:B32)</f>
        <v>6811.5</v>
      </c>
      <c r="C30" s="155"/>
      <c r="D30" s="131"/>
      <c r="E30" s="144"/>
      <c r="F30" s="131">
        <f>C30-E30</f>
        <v>0</v>
      </c>
      <c r="G30" s="131"/>
      <c r="H30" s="419"/>
      <c r="I30" s="361"/>
      <c r="J30" s="496"/>
      <c r="K30" s="59"/>
    </row>
    <row r="31" spans="1:17" ht="15.6" hidden="1" outlineLevel="1" thickTop="1" thickBot="1" x14ac:dyDescent="0.35">
      <c r="A31" s="113" t="s">
        <v>368</v>
      </c>
      <c r="B31" s="114">
        <v>0</v>
      </c>
      <c r="C31" s="488">
        <v>0</v>
      </c>
      <c r="D31" s="489">
        <v>0</v>
      </c>
      <c r="E31" s="497">
        <f t="shared" ref="E31" si="10">D31*1.33</f>
        <v>0</v>
      </c>
      <c r="F31" s="114"/>
      <c r="G31" s="114"/>
      <c r="H31" s="418"/>
      <c r="I31" s="360">
        <v>0</v>
      </c>
      <c r="J31" s="496"/>
      <c r="K31" s="59"/>
    </row>
    <row r="32" spans="1:17" ht="15.6" outlineLevel="1" thickTop="1" thickBot="1" x14ac:dyDescent="0.35">
      <c r="A32" s="113" t="s">
        <v>371</v>
      </c>
      <c r="B32" s="114">
        <f>B26*0.5</f>
        <v>6811.5</v>
      </c>
      <c r="C32" s="488">
        <v>1635</v>
      </c>
      <c r="D32" s="489">
        <v>0</v>
      </c>
      <c r="E32" s="497">
        <v>8440</v>
      </c>
      <c r="F32" s="114"/>
      <c r="G32" s="114"/>
      <c r="H32" s="418">
        <v>8600</v>
      </c>
      <c r="I32" s="360">
        <f>Expenditures!L28</f>
        <v>8750</v>
      </c>
      <c r="J32" s="496"/>
      <c r="K32" s="59"/>
    </row>
    <row r="33" spans="1:11" s="132" customFormat="1" ht="15" thickBot="1" x14ac:dyDescent="0.35">
      <c r="A33" s="129" t="s">
        <v>492</v>
      </c>
      <c r="B33" s="131">
        <f>SUM(B34:B35)</f>
        <v>681.15000000000009</v>
      </c>
      <c r="C33" s="155"/>
      <c r="D33" s="131"/>
      <c r="E33" s="144"/>
      <c r="F33" s="131"/>
      <c r="G33" s="130"/>
      <c r="H33" s="419"/>
      <c r="I33" s="361"/>
      <c r="J33" s="496"/>
      <c r="K33" s="59"/>
    </row>
    <row r="34" spans="1:11" ht="15.6" hidden="1" outlineLevel="1" thickTop="1" thickBot="1" x14ac:dyDescent="0.35">
      <c r="A34" s="113" t="s">
        <v>368</v>
      </c>
      <c r="B34" s="114">
        <v>0</v>
      </c>
      <c r="C34" s="488">
        <v>0</v>
      </c>
      <c r="D34" s="489">
        <v>0</v>
      </c>
      <c r="E34" s="497">
        <f t="shared" ref="E34" si="11">D34*1.33</f>
        <v>0</v>
      </c>
      <c r="F34" s="114"/>
      <c r="G34" s="114"/>
      <c r="H34" s="418"/>
      <c r="I34" s="360">
        <v>0</v>
      </c>
      <c r="J34" s="496"/>
      <c r="K34" s="59"/>
    </row>
    <row r="35" spans="1:11" ht="15.6" outlineLevel="1" thickTop="1" thickBot="1" x14ac:dyDescent="0.35">
      <c r="A35" s="113" t="s">
        <v>372</v>
      </c>
      <c r="B35" s="114">
        <f>B26*0.05</f>
        <v>681.15000000000009</v>
      </c>
      <c r="C35" s="488">
        <v>3286.31</v>
      </c>
      <c r="D35" s="489">
        <v>0</v>
      </c>
      <c r="E35" s="497">
        <f>C35*1.2</f>
        <v>3943.5719999999997</v>
      </c>
      <c r="F35" s="114"/>
      <c r="G35" s="114"/>
      <c r="H35" s="418">
        <v>2500</v>
      </c>
      <c r="I35" s="360">
        <v>4500</v>
      </c>
      <c r="J35" s="320"/>
    </row>
    <row r="36" spans="1:11" s="132" customFormat="1" ht="15" thickBot="1" x14ac:dyDescent="0.35">
      <c r="A36" s="133" t="s">
        <v>373</v>
      </c>
      <c r="B36" s="131">
        <f>SUM(B37:B38)</f>
        <v>1362.3000000000002</v>
      </c>
      <c r="C36" s="155"/>
      <c r="D36" s="131"/>
      <c r="E36" s="144"/>
      <c r="F36" s="131">
        <f>C36-E36</f>
        <v>0</v>
      </c>
      <c r="G36" s="131"/>
      <c r="H36" s="419"/>
      <c r="I36" s="361"/>
      <c r="J36" s="319"/>
    </row>
    <row r="37" spans="1:11" ht="15.6" hidden="1" outlineLevel="1" thickTop="1" thickBot="1" x14ac:dyDescent="0.35">
      <c r="A37" s="113" t="s">
        <v>368</v>
      </c>
      <c r="B37" s="114">
        <v>0</v>
      </c>
      <c r="C37" s="488">
        <v>0</v>
      </c>
      <c r="D37" s="489">
        <v>0</v>
      </c>
      <c r="E37" s="497">
        <f t="shared" ref="E37" si="12">D37*1.33</f>
        <v>0</v>
      </c>
      <c r="F37" s="114"/>
      <c r="G37" s="114"/>
      <c r="H37" s="418"/>
      <c r="I37" s="360">
        <v>0</v>
      </c>
      <c r="J37" s="320"/>
    </row>
    <row r="38" spans="1:11" ht="15.6" outlineLevel="1" thickTop="1" thickBot="1" x14ac:dyDescent="0.35">
      <c r="A38" s="113" t="s">
        <v>372</v>
      </c>
      <c r="B38" s="114">
        <f>B26*0.1</f>
        <v>1362.3000000000002</v>
      </c>
      <c r="C38" s="488">
        <v>1446.93</v>
      </c>
      <c r="D38" s="489">
        <v>0</v>
      </c>
      <c r="E38" s="497">
        <f>C38*1.2</f>
        <v>1736.316</v>
      </c>
      <c r="F38" s="114"/>
      <c r="G38" s="114"/>
      <c r="H38" s="418">
        <v>1400</v>
      </c>
      <c r="I38" s="360">
        <v>1500</v>
      </c>
      <c r="J38" s="320"/>
    </row>
    <row r="39" spans="1:11" ht="18" thickBot="1" x14ac:dyDescent="0.4">
      <c r="A39" s="162" t="s">
        <v>374</v>
      </c>
      <c r="B39" s="162">
        <f>SUM(B40:B42)</f>
        <v>3695.9700000000003</v>
      </c>
      <c r="C39" s="165">
        <f t="shared" ref="C39:E39" si="13">SUM(C40:C42)</f>
        <v>4686.26</v>
      </c>
      <c r="D39" s="166">
        <f t="shared" si="13"/>
        <v>2863.01</v>
      </c>
      <c r="E39" s="166">
        <f t="shared" si="13"/>
        <v>5267.3119999999999</v>
      </c>
      <c r="F39" s="162">
        <f>C39-E39</f>
        <v>-581.05199999999968</v>
      </c>
      <c r="G39" s="162"/>
      <c r="H39" s="416">
        <v>6000</v>
      </c>
      <c r="I39" s="356">
        <f>ROUNDUP(SUM(I40:I42),-2)</f>
        <v>19500</v>
      </c>
      <c r="J39" s="317"/>
    </row>
    <row r="40" spans="1:11" ht="15.6" hidden="1" outlineLevel="1" thickTop="1" thickBot="1" x14ac:dyDescent="0.35">
      <c r="A40" s="113" t="s">
        <v>372</v>
      </c>
      <c r="B40" s="114">
        <v>352.47</v>
      </c>
      <c r="C40" s="488">
        <v>0</v>
      </c>
      <c r="D40" s="489">
        <v>0</v>
      </c>
      <c r="E40" s="497">
        <f>C40*1.3</f>
        <v>0</v>
      </c>
      <c r="F40" s="114"/>
      <c r="G40" s="114"/>
      <c r="H40" s="418">
        <v>500</v>
      </c>
      <c r="I40" s="360">
        <v>0</v>
      </c>
      <c r="J40" s="320"/>
    </row>
    <row r="41" spans="1:11" ht="15.6" outlineLevel="1" thickTop="1" thickBot="1" x14ac:dyDescent="0.35">
      <c r="A41" s="113" t="s">
        <v>375</v>
      </c>
      <c r="B41" s="114"/>
      <c r="C41" s="488">
        <v>1781</v>
      </c>
      <c r="D41" s="489">
        <v>0</v>
      </c>
      <c r="E41" s="497">
        <v>1781</v>
      </c>
      <c r="F41" s="114"/>
      <c r="G41" s="114"/>
      <c r="H41" s="418">
        <v>1000</v>
      </c>
      <c r="I41" s="360">
        <v>15000</v>
      </c>
      <c r="J41" s="320"/>
    </row>
    <row r="42" spans="1:11" ht="15" outlineLevel="1" thickBot="1" x14ac:dyDescent="0.35">
      <c r="A42" s="113" t="s">
        <v>376</v>
      </c>
      <c r="B42" s="114">
        <v>3343.5</v>
      </c>
      <c r="C42" s="488">
        <v>2905.26</v>
      </c>
      <c r="D42" s="489">
        <v>2863.01</v>
      </c>
      <c r="E42" s="497">
        <f>C42*1.2</f>
        <v>3486.3120000000004</v>
      </c>
      <c r="F42" s="114"/>
      <c r="G42" s="114"/>
      <c r="H42" s="418">
        <v>4500</v>
      </c>
      <c r="I42" s="360">
        <v>4500</v>
      </c>
      <c r="J42" s="320"/>
    </row>
    <row r="43" spans="1:11" ht="18" thickBot="1" x14ac:dyDescent="0.4">
      <c r="A43" s="162" t="s">
        <v>377</v>
      </c>
      <c r="B43" s="162">
        <f>SUM(B44:B50)</f>
        <v>5997.1500000000005</v>
      </c>
      <c r="C43" s="165">
        <f t="shared" ref="C43:D43" si="14">SUM(C44:C50)</f>
        <v>0</v>
      </c>
      <c r="D43" s="166">
        <f t="shared" si="14"/>
        <v>1284.96</v>
      </c>
      <c r="E43" s="166">
        <f>SUM(E44:E50)</f>
        <v>0</v>
      </c>
      <c r="F43" s="162">
        <f>C43-E43</f>
        <v>0</v>
      </c>
      <c r="G43" s="162" t="s">
        <v>126</v>
      </c>
      <c r="H43" s="416">
        <v>7000</v>
      </c>
      <c r="I43" s="356">
        <f>ROUNDUP(SUM(I44:I50),-2)</f>
        <v>2400</v>
      </c>
      <c r="J43" s="317"/>
    </row>
    <row r="44" spans="1:11" ht="15.6" outlineLevel="1" thickTop="1" thickBot="1" x14ac:dyDescent="0.35">
      <c r="A44" s="113" t="s">
        <v>378</v>
      </c>
      <c r="B44" s="114">
        <v>87.76</v>
      </c>
      <c r="C44" s="488">
        <v>0</v>
      </c>
      <c r="D44" s="489">
        <v>46.91</v>
      </c>
      <c r="E44" s="497">
        <f>C44*1.33</f>
        <v>0</v>
      </c>
      <c r="F44" s="114"/>
      <c r="G44" s="114"/>
      <c r="H44" s="418">
        <v>500</v>
      </c>
      <c r="I44" s="360">
        <v>1000</v>
      </c>
      <c r="J44" s="320"/>
    </row>
    <row r="45" spans="1:11" ht="15" outlineLevel="1" thickBot="1" x14ac:dyDescent="0.35">
      <c r="A45" s="113" t="s">
        <v>379</v>
      </c>
      <c r="B45" s="114">
        <f>B29*0.1</f>
        <v>514.5</v>
      </c>
      <c r="C45" s="488">
        <v>0</v>
      </c>
      <c r="D45" s="489">
        <v>0</v>
      </c>
      <c r="E45" s="497">
        <f t="shared" ref="E45:E50" si="15">C45*1.33</f>
        <v>0</v>
      </c>
      <c r="F45" s="114"/>
      <c r="G45" s="114"/>
      <c r="H45" s="418">
        <v>0</v>
      </c>
      <c r="I45" s="360">
        <v>250</v>
      </c>
      <c r="J45" s="320"/>
    </row>
    <row r="46" spans="1:11" ht="15" outlineLevel="1" thickBot="1" x14ac:dyDescent="0.35">
      <c r="A46" s="113" t="s">
        <v>380</v>
      </c>
      <c r="B46" s="114">
        <v>5394.89</v>
      </c>
      <c r="C46" s="488">
        <v>0</v>
      </c>
      <c r="D46" s="489">
        <v>1238.05</v>
      </c>
      <c r="E46" s="497">
        <f t="shared" si="15"/>
        <v>0</v>
      </c>
      <c r="F46" s="114"/>
      <c r="G46" s="114"/>
      <c r="H46" s="418">
        <v>1000</v>
      </c>
      <c r="I46" s="360">
        <v>1000</v>
      </c>
      <c r="J46" s="320"/>
    </row>
    <row r="47" spans="1:11" ht="15" outlineLevel="1" thickBot="1" x14ac:dyDescent="0.35">
      <c r="A47" s="113" t="s">
        <v>381</v>
      </c>
      <c r="B47" s="114">
        <v>0</v>
      </c>
      <c r="C47" s="488">
        <v>0</v>
      </c>
      <c r="D47" s="489">
        <v>0</v>
      </c>
      <c r="E47" s="497">
        <f t="shared" si="15"/>
        <v>0</v>
      </c>
      <c r="F47" s="114"/>
      <c r="G47" s="114"/>
      <c r="H47" s="418">
        <v>100</v>
      </c>
      <c r="I47" s="360">
        <v>100</v>
      </c>
      <c r="J47" s="320"/>
    </row>
    <row r="48" spans="1:11" ht="15" outlineLevel="1" thickBot="1" x14ac:dyDescent="0.35">
      <c r="A48" s="113" t="s">
        <v>382</v>
      </c>
      <c r="B48" s="114">
        <v>0</v>
      </c>
      <c r="C48" s="488">
        <v>0</v>
      </c>
      <c r="D48" s="489">
        <v>0</v>
      </c>
      <c r="E48" s="497">
        <f t="shared" si="15"/>
        <v>0</v>
      </c>
      <c r="F48" s="114"/>
      <c r="G48" s="114"/>
      <c r="H48" s="418">
        <v>0</v>
      </c>
      <c r="I48" s="360">
        <v>0</v>
      </c>
      <c r="J48" s="320"/>
    </row>
    <row r="49" spans="1:13" ht="15" outlineLevel="1" thickBot="1" x14ac:dyDescent="0.35">
      <c r="A49" s="113" t="s">
        <v>383</v>
      </c>
      <c r="B49" s="114">
        <v>0</v>
      </c>
      <c r="C49" s="488">
        <v>0</v>
      </c>
      <c r="D49" s="489">
        <v>0</v>
      </c>
      <c r="E49" s="497">
        <f t="shared" si="15"/>
        <v>0</v>
      </c>
      <c r="F49" s="114"/>
      <c r="G49" s="114"/>
      <c r="H49" s="418">
        <v>0</v>
      </c>
      <c r="I49" s="360">
        <v>0</v>
      </c>
      <c r="J49" s="320"/>
    </row>
    <row r="50" spans="1:13" ht="15" outlineLevel="1" thickBot="1" x14ac:dyDescent="0.35">
      <c r="A50" s="113" t="s">
        <v>384</v>
      </c>
      <c r="B50" s="114">
        <v>0</v>
      </c>
      <c r="C50" s="488">
        <v>0</v>
      </c>
      <c r="D50" s="489">
        <v>0</v>
      </c>
      <c r="E50" s="497">
        <f t="shared" si="15"/>
        <v>0</v>
      </c>
      <c r="F50" s="114"/>
      <c r="G50" s="114"/>
      <c r="H50" s="418">
        <v>0</v>
      </c>
      <c r="I50" s="360">
        <v>0</v>
      </c>
      <c r="J50" s="320"/>
    </row>
    <row r="51" spans="1:13" ht="18" thickBot="1" x14ac:dyDescent="0.4">
      <c r="A51" s="162" t="s">
        <v>385</v>
      </c>
      <c r="B51" s="162">
        <f>B52</f>
        <v>0</v>
      </c>
      <c r="C51" s="165">
        <f>C52</f>
        <v>8845</v>
      </c>
      <c r="D51" s="162">
        <f t="shared" ref="D51:E51" si="16">D52</f>
        <v>1590</v>
      </c>
      <c r="E51" s="166">
        <f t="shared" si="16"/>
        <v>11763.85</v>
      </c>
      <c r="F51" s="162">
        <f>C51-E51</f>
        <v>-2918.8500000000004</v>
      </c>
      <c r="G51" s="162"/>
      <c r="H51" s="416">
        <f>H52</f>
        <v>60000</v>
      </c>
      <c r="I51" s="356">
        <f>ROUNDUP(I52,-2)</f>
        <v>60000</v>
      </c>
      <c r="J51" s="317"/>
    </row>
    <row r="52" spans="1:13" ht="15.6" outlineLevel="1" thickTop="1" thickBot="1" x14ac:dyDescent="0.35">
      <c r="A52" s="113" t="s">
        <v>371</v>
      </c>
      <c r="B52" s="114">
        <v>0</v>
      </c>
      <c r="C52" s="488">
        <v>8845</v>
      </c>
      <c r="D52" s="489">
        <v>1590</v>
      </c>
      <c r="E52" s="497">
        <f>C52*1.33</f>
        <v>11763.85</v>
      </c>
      <c r="F52" s="114"/>
      <c r="G52" s="114"/>
      <c r="H52" s="418">
        <v>60000</v>
      </c>
      <c r="I52" s="360">
        <v>60000</v>
      </c>
      <c r="J52" s="320"/>
    </row>
    <row r="53" spans="1:13" ht="18" thickBot="1" x14ac:dyDescent="0.4">
      <c r="A53" s="162" t="s">
        <v>386</v>
      </c>
      <c r="B53" s="162">
        <f>SUM(B54:B55)</f>
        <v>42023.58</v>
      </c>
      <c r="C53" s="165">
        <f>SUM(C54:C55)</f>
        <v>53418.99</v>
      </c>
      <c r="D53" s="162">
        <f t="shared" ref="D53:E53" si="17">SUM(D54:D55)</f>
        <v>45556.1</v>
      </c>
      <c r="E53" s="166">
        <f t="shared" si="17"/>
        <v>58760.889000000003</v>
      </c>
      <c r="F53" s="162">
        <f>C53-E53</f>
        <v>-5341.8990000000049</v>
      </c>
      <c r="G53" s="162"/>
      <c r="H53" s="416">
        <f>SUM(H54:H55)</f>
        <v>50000</v>
      </c>
      <c r="I53" s="356">
        <f>ROUNDUP(SUM(I54:I55),-2)</f>
        <v>60000</v>
      </c>
      <c r="J53" s="317"/>
    </row>
    <row r="54" spans="1:13" ht="15.6" outlineLevel="1" thickTop="1" thickBot="1" x14ac:dyDescent="0.35">
      <c r="A54" s="113" t="s">
        <v>387</v>
      </c>
      <c r="B54" s="114">
        <f>49013.58-6990</f>
        <v>42023.58</v>
      </c>
      <c r="C54" s="488">
        <v>53418.99</v>
      </c>
      <c r="D54" s="114">
        <v>45556.1</v>
      </c>
      <c r="E54" s="497">
        <f>C54*1.1</f>
        <v>58760.889000000003</v>
      </c>
      <c r="F54" s="114"/>
      <c r="G54" s="114"/>
      <c r="H54" s="418">
        <v>50000</v>
      </c>
      <c r="I54" s="360">
        <v>60000</v>
      </c>
      <c r="J54" s="320"/>
    </row>
    <row r="55" spans="1:13" ht="15" outlineLevel="1" thickBot="1" x14ac:dyDescent="0.35">
      <c r="A55" s="113" t="s">
        <v>388</v>
      </c>
      <c r="B55" s="114">
        <v>0</v>
      </c>
      <c r="C55" s="488">
        <v>0</v>
      </c>
      <c r="D55" s="114">
        <v>0</v>
      </c>
      <c r="E55" s="497">
        <v>0</v>
      </c>
      <c r="F55" s="114"/>
      <c r="G55" s="114"/>
      <c r="H55" s="418">
        <v>0</v>
      </c>
      <c r="I55" s="360">
        <v>0</v>
      </c>
      <c r="J55" s="320"/>
    </row>
    <row r="56" spans="1:13" ht="18" thickBot="1" x14ac:dyDescent="0.4">
      <c r="A56" s="162" t="s">
        <v>389</v>
      </c>
      <c r="B56" s="162">
        <f>B57+B60</f>
        <v>5304.79</v>
      </c>
      <c r="C56" s="165">
        <v>0</v>
      </c>
      <c r="D56" s="162">
        <f t="shared" ref="D56:E56" si="18">D57+D60</f>
        <v>0</v>
      </c>
      <c r="E56" s="166">
        <f t="shared" si="18"/>
        <v>0</v>
      </c>
      <c r="F56" s="162">
        <f>C56-E56</f>
        <v>0</v>
      </c>
      <c r="G56" s="162"/>
      <c r="H56" s="416">
        <f>SUM(H57+H60)</f>
        <v>100000</v>
      </c>
      <c r="I56" s="356">
        <f>+I57+I60</f>
        <v>100000</v>
      </c>
      <c r="J56" s="317"/>
    </row>
    <row r="57" spans="1:13" ht="18.600000000000001" thickTop="1" thickBot="1" x14ac:dyDescent="0.4">
      <c r="A57" s="115" t="s">
        <v>17</v>
      </c>
      <c r="B57" s="109">
        <f>SUM(B58:B59)</f>
        <v>0</v>
      </c>
      <c r="C57" s="156">
        <v>0</v>
      </c>
      <c r="D57" s="109">
        <f t="shared" ref="D57:E57" si="19">SUM(D58:D59)</f>
        <v>0</v>
      </c>
      <c r="E57" s="145">
        <f t="shared" si="19"/>
        <v>0</v>
      </c>
      <c r="F57" s="107">
        <f>C57-E57</f>
        <v>0</v>
      </c>
      <c r="G57" s="109"/>
      <c r="H57" s="420">
        <f>SUM(H58:H59)</f>
        <v>75000</v>
      </c>
      <c r="I57" s="362">
        <f>ROUNDUP(SUM(I58:I59),-2)</f>
        <v>100000</v>
      </c>
      <c r="J57" s="321"/>
      <c r="L57" t="s">
        <v>390</v>
      </c>
      <c r="M57" s="69">
        <v>33176.699999999997</v>
      </c>
    </row>
    <row r="58" spans="1:13" ht="15.6" outlineLevel="1" thickTop="1" thickBot="1" x14ac:dyDescent="0.35">
      <c r="A58" s="113" t="s">
        <v>284</v>
      </c>
      <c r="B58" s="114">
        <v>0</v>
      </c>
      <c r="C58" s="488">
        <v>0</v>
      </c>
      <c r="D58" s="114">
        <v>0</v>
      </c>
      <c r="E58" s="497">
        <v>0</v>
      </c>
      <c r="F58" s="114"/>
      <c r="G58" s="114"/>
      <c r="H58" s="418">
        <v>75000</v>
      </c>
      <c r="I58" s="360">
        <v>100000</v>
      </c>
      <c r="J58" s="320"/>
    </row>
    <row r="59" spans="1:13" ht="15" outlineLevel="1" thickBot="1" x14ac:dyDescent="0.35">
      <c r="A59" s="113" t="s">
        <v>391</v>
      </c>
      <c r="B59" s="114">
        <v>0</v>
      </c>
      <c r="C59" s="488">
        <v>0</v>
      </c>
      <c r="D59" s="489">
        <v>0</v>
      </c>
      <c r="E59" s="497">
        <v>0</v>
      </c>
      <c r="F59" s="114"/>
      <c r="G59" s="114"/>
      <c r="H59" s="418">
        <v>0</v>
      </c>
      <c r="I59" s="360">
        <v>0</v>
      </c>
      <c r="J59" s="320"/>
    </row>
    <row r="60" spans="1:13" ht="18" thickBot="1" x14ac:dyDescent="0.4">
      <c r="A60" s="116" t="s">
        <v>392</v>
      </c>
      <c r="B60" s="107">
        <f>B61</f>
        <v>5304.79</v>
      </c>
      <c r="C60" s="157">
        <v>0</v>
      </c>
      <c r="D60" s="107">
        <f t="shared" ref="D60:E60" si="20">D61</f>
        <v>0</v>
      </c>
      <c r="E60" s="146">
        <f t="shared" si="20"/>
        <v>0</v>
      </c>
      <c r="F60" s="107">
        <f>C60-E60</f>
        <v>0</v>
      </c>
      <c r="G60" s="107"/>
      <c r="H60" s="421">
        <f>H61</f>
        <v>25000</v>
      </c>
      <c r="I60" s="363">
        <f>ROUNDUP(I61,-2)</f>
        <v>0</v>
      </c>
      <c r="J60" s="321"/>
    </row>
    <row r="61" spans="1:13" ht="15.6" outlineLevel="1" thickTop="1" thickBot="1" x14ac:dyDescent="0.35">
      <c r="A61" s="113" t="s">
        <v>393</v>
      </c>
      <c r="B61" s="114">
        <v>5304.79</v>
      </c>
      <c r="C61" s="488">
        <v>116.7</v>
      </c>
      <c r="D61" s="114">
        <v>0</v>
      </c>
      <c r="E61" s="497">
        <v>0</v>
      </c>
      <c r="F61" s="114"/>
      <c r="G61" s="114"/>
      <c r="H61" s="418">
        <v>25000</v>
      </c>
      <c r="I61" s="360">
        <v>0</v>
      </c>
      <c r="J61" s="320"/>
    </row>
    <row r="62" spans="1:13" ht="18" thickBot="1" x14ac:dyDescent="0.4">
      <c r="A62" s="162" t="s">
        <v>394</v>
      </c>
      <c r="B62" s="162">
        <f>SUM(B63:B67)</f>
        <v>57747</v>
      </c>
      <c r="C62" s="165">
        <v>17043.18</v>
      </c>
      <c r="D62" s="162">
        <f>SUM(D63:D67)</f>
        <v>43310.25</v>
      </c>
      <c r="E62" s="166">
        <f>SUM(E63:E67)</f>
        <v>33404.160000000003</v>
      </c>
      <c r="F62" s="162">
        <f>C62-E62</f>
        <v>-16360.980000000003</v>
      </c>
      <c r="G62" s="162"/>
      <c r="H62" s="416">
        <f>ROUNDUP(SUM(H63:H67),-2)</f>
        <v>33500</v>
      </c>
      <c r="I62" s="356">
        <f>ROUNDUP(SUM(I63:I67),-2)</f>
        <v>33500</v>
      </c>
      <c r="J62" s="317"/>
    </row>
    <row r="63" spans="1:13" ht="15.6" outlineLevel="1" thickTop="1" thickBot="1" x14ac:dyDescent="0.35">
      <c r="A63" s="113" t="s">
        <v>395</v>
      </c>
      <c r="B63" s="114">
        <v>0</v>
      </c>
      <c r="C63" s="488">
        <v>0</v>
      </c>
      <c r="D63" s="489">
        <v>0</v>
      </c>
      <c r="E63" s="497">
        <v>0</v>
      </c>
      <c r="F63" s="114"/>
      <c r="G63" s="114"/>
      <c r="H63" s="418">
        <v>0</v>
      </c>
      <c r="I63" s="360">
        <v>0</v>
      </c>
      <c r="J63" s="320"/>
    </row>
    <row r="64" spans="1:13" ht="15" outlineLevel="1" thickBot="1" x14ac:dyDescent="0.35">
      <c r="A64" s="113" t="s">
        <v>396</v>
      </c>
      <c r="B64" s="114">
        <f>130*12</f>
        <v>1560</v>
      </c>
      <c r="C64" s="488">
        <v>1347.92</v>
      </c>
      <c r="D64" s="489">
        <f>130*9</f>
        <v>1170</v>
      </c>
      <c r="E64" s="497">
        <f>130*12</f>
        <v>1560</v>
      </c>
      <c r="F64" s="114"/>
      <c r="G64" s="114"/>
      <c r="H64" s="418">
        <v>1560</v>
      </c>
      <c r="I64" s="360">
        <v>1560</v>
      </c>
      <c r="J64" s="320"/>
    </row>
    <row r="65" spans="1:12" ht="15" outlineLevel="1" thickBot="1" x14ac:dyDescent="0.35">
      <c r="A65" s="113" t="s">
        <v>397</v>
      </c>
      <c r="B65" s="114">
        <f>1560.75*12</f>
        <v>18729</v>
      </c>
      <c r="C65" s="488">
        <v>15695.26</v>
      </c>
      <c r="D65" s="489">
        <f>1560.75*9</f>
        <v>14046.75</v>
      </c>
      <c r="E65" s="497">
        <f>1560.75*12</f>
        <v>18729</v>
      </c>
      <c r="F65" s="114"/>
      <c r="G65" s="114"/>
      <c r="H65" s="418">
        <v>18789</v>
      </c>
      <c r="I65" s="360">
        <v>18729</v>
      </c>
      <c r="J65" s="320"/>
    </row>
    <row r="66" spans="1:12" ht="15" outlineLevel="1" thickBot="1" x14ac:dyDescent="0.35">
      <c r="A66" s="113" t="s">
        <v>398</v>
      </c>
      <c r="B66" s="114">
        <f>1560.75*12</f>
        <v>18729</v>
      </c>
      <c r="C66" s="488">
        <v>7795.64</v>
      </c>
      <c r="D66" s="489">
        <f>1560.75*9</f>
        <v>14046.75</v>
      </c>
      <c r="E66" s="497">
        <v>10399.86</v>
      </c>
      <c r="F66" s="114"/>
      <c r="G66" s="114"/>
      <c r="H66" s="418">
        <v>10497.13</v>
      </c>
      <c r="I66" s="360">
        <v>10497.13</v>
      </c>
      <c r="J66" s="320"/>
    </row>
    <row r="67" spans="1:12" ht="15" outlineLevel="1" thickBot="1" x14ac:dyDescent="0.35">
      <c r="A67" s="113" t="s">
        <v>399</v>
      </c>
      <c r="B67" s="114">
        <f>1560.75*12</f>
        <v>18729</v>
      </c>
      <c r="C67" s="488">
        <v>2040.73</v>
      </c>
      <c r="D67" s="489">
        <f>1560.75*9</f>
        <v>14046.75</v>
      </c>
      <c r="E67" s="497">
        <v>2715.3</v>
      </c>
      <c r="F67" s="114"/>
      <c r="G67" s="114"/>
      <c r="H67" s="418">
        <v>2618.0300000000002</v>
      </c>
      <c r="I67" s="360">
        <v>2618.0300000000002</v>
      </c>
      <c r="J67" s="320"/>
    </row>
    <row r="68" spans="1:12" ht="18" thickBot="1" x14ac:dyDescent="0.4">
      <c r="A68" s="162" t="s">
        <v>400</v>
      </c>
      <c r="B68" s="162">
        <f>SUM(B69:B69)</f>
        <v>386</v>
      </c>
      <c r="C68" s="165">
        <v>0</v>
      </c>
      <c r="D68" s="162">
        <f>SUM(D69:D69)</f>
        <v>0</v>
      </c>
      <c r="E68" s="166">
        <f>SUM(E69:E69)</f>
        <v>49359.839999999997</v>
      </c>
      <c r="F68" s="162">
        <f>C68-E68</f>
        <v>-49359.839999999997</v>
      </c>
      <c r="G68" s="162"/>
      <c r="H68" s="416">
        <f>H69</f>
        <v>350000</v>
      </c>
      <c r="I68" s="356">
        <f>ROUNDUP(SUM(I69:I69),-2)</f>
        <v>100000</v>
      </c>
      <c r="J68" s="317"/>
    </row>
    <row r="69" spans="1:12" ht="15.6" outlineLevel="1" thickTop="1" thickBot="1" x14ac:dyDescent="0.35">
      <c r="A69" s="113" t="s">
        <v>401</v>
      </c>
      <c r="B69" s="114">
        <v>386</v>
      </c>
      <c r="C69" s="488">
        <v>49159.839999999997</v>
      </c>
      <c r="D69" s="489">
        <v>0</v>
      </c>
      <c r="E69" s="497">
        <f>C69+200</f>
        <v>49359.839999999997</v>
      </c>
      <c r="F69" s="114"/>
      <c r="G69" s="114"/>
      <c r="H69" s="418">
        <v>350000</v>
      </c>
      <c r="I69" s="360">
        <v>100000</v>
      </c>
      <c r="J69" s="320"/>
    </row>
    <row r="70" spans="1:12" ht="18" thickBot="1" x14ac:dyDescent="0.4">
      <c r="A70" s="162" t="s">
        <v>402</v>
      </c>
      <c r="B70" s="162">
        <f>B71</f>
        <v>1850</v>
      </c>
      <c r="C70" s="165">
        <v>0</v>
      </c>
      <c r="D70" s="162">
        <f t="shared" ref="D70:E70" si="21">D71</f>
        <v>0</v>
      </c>
      <c r="E70" s="166">
        <f t="shared" si="21"/>
        <v>0</v>
      </c>
      <c r="F70" s="162">
        <f>C70-E70</f>
        <v>0</v>
      </c>
      <c r="G70" s="162"/>
      <c r="H70" s="416">
        <f>H71</f>
        <v>0</v>
      </c>
      <c r="I70" s="356">
        <f>ROUNDUP(I71,-2)</f>
        <v>0</v>
      </c>
      <c r="J70" s="317">
        <v>0</v>
      </c>
    </row>
    <row r="71" spans="1:12" ht="15.6" outlineLevel="1" thickTop="1" thickBot="1" x14ac:dyDescent="0.35">
      <c r="A71" s="113" t="s">
        <v>403</v>
      </c>
      <c r="B71" s="114">
        <v>1850</v>
      </c>
      <c r="C71" s="488">
        <v>0</v>
      </c>
      <c r="D71" s="489">
        <v>0</v>
      </c>
      <c r="E71" s="497">
        <v>0</v>
      </c>
      <c r="F71" s="114"/>
      <c r="G71" s="114"/>
      <c r="H71" s="418">
        <v>0</v>
      </c>
      <c r="I71" s="360">
        <v>0</v>
      </c>
      <c r="J71" s="320"/>
    </row>
    <row r="72" spans="1:12" ht="18" thickBot="1" x14ac:dyDescent="0.4">
      <c r="A72" s="162" t="s">
        <v>404</v>
      </c>
      <c r="B72" s="162">
        <f>B73</f>
        <v>2000</v>
      </c>
      <c r="C72" s="165">
        <v>2000</v>
      </c>
      <c r="D72" s="162">
        <f>D73</f>
        <v>0</v>
      </c>
      <c r="E72" s="166">
        <f>E73</f>
        <v>2000</v>
      </c>
      <c r="F72" s="162">
        <f>C72-E72</f>
        <v>0</v>
      </c>
      <c r="G72" s="162"/>
      <c r="H72" s="416">
        <f>H73</f>
        <v>2000</v>
      </c>
      <c r="I72" s="356">
        <f>ROUNDUP(I73,-2)</f>
        <v>2000</v>
      </c>
      <c r="J72" s="317"/>
    </row>
    <row r="73" spans="1:12" ht="15.6" outlineLevel="1" thickTop="1" thickBot="1" x14ac:dyDescent="0.35">
      <c r="A73" s="113" t="s">
        <v>363</v>
      </c>
      <c r="B73" s="114">
        <v>2000</v>
      </c>
      <c r="C73" s="488">
        <v>2000</v>
      </c>
      <c r="D73" s="489">
        <v>0</v>
      </c>
      <c r="E73" s="497">
        <v>2000</v>
      </c>
      <c r="F73" s="114"/>
      <c r="G73" s="114"/>
      <c r="H73" s="418">
        <v>2000</v>
      </c>
      <c r="I73" s="360">
        <v>2000</v>
      </c>
      <c r="J73" s="320">
        <v>297088</v>
      </c>
      <c r="K73" t="s">
        <v>405</v>
      </c>
    </row>
    <row r="74" spans="1:12" ht="18" thickBot="1" x14ac:dyDescent="0.4">
      <c r="A74" s="162" t="s">
        <v>406</v>
      </c>
      <c r="B74" s="162">
        <f>B75</f>
        <v>0</v>
      </c>
      <c r="C74" s="165">
        <v>0</v>
      </c>
      <c r="D74" s="162">
        <f>D75</f>
        <v>0</v>
      </c>
      <c r="E74" s="166">
        <f>E75</f>
        <v>0</v>
      </c>
      <c r="F74" s="162">
        <f>C74-E74</f>
        <v>0</v>
      </c>
      <c r="G74" s="162"/>
      <c r="H74" s="416">
        <f>H75</f>
        <v>12500</v>
      </c>
      <c r="I74" s="356">
        <f>ROUNDUP(I75,-2)</f>
        <v>20000</v>
      </c>
      <c r="J74" s="317"/>
    </row>
    <row r="75" spans="1:12" ht="15.6" outlineLevel="1" thickTop="1" thickBot="1" x14ac:dyDescent="0.35">
      <c r="A75" s="113" t="s">
        <v>401</v>
      </c>
      <c r="B75" s="114">
        <v>0</v>
      </c>
      <c r="C75" s="488">
        <v>0</v>
      </c>
      <c r="D75" s="489">
        <v>0</v>
      </c>
      <c r="E75" s="497">
        <v>0</v>
      </c>
      <c r="F75" s="114"/>
      <c r="G75" s="114"/>
      <c r="H75" s="418">
        <v>12500</v>
      </c>
      <c r="I75" s="360">
        <v>20000</v>
      </c>
      <c r="J75" s="320"/>
    </row>
    <row r="76" spans="1:12" ht="18" thickBot="1" x14ac:dyDescent="0.4">
      <c r="A76" s="162" t="s">
        <v>407</v>
      </c>
      <c r="B76" s="162">
        <f>B77</f>
        <v>6990</v>
      </c>
      <c r="C76" s="165">
        <v>6990</v>
      </c>
      <c r="D76" s="162">
        <f t="shared" ref="D76:E76" si="22">D77</f>
        <v>0</v>
      </c>
      <c r="E76" s="166">
        <f t="shared" si="22"/>
        <v>6990</v>
      </c>
      <c r="F76" s="162">
        <f>C76-E76</f>
        <v>0</v>
      </c>
      <c r="G76" s="162"/>
      <c r="H76" s="416">
        <f>H77</f>
        <v>6990</v>
      </c>
      <c r="I76" s="356">
        <f>ROUNDUP(I77,-2)</f>
        <v>10000</v>
      </c>
      <c r="J76" s="317"/>
    </row>
    <row r="77" spans="1:12" ht="15.6" outlineLevel="1" thickTop="1" thickBot="1" x14ac:dyDescent="0.35">
      <c r="A77" s="113" t="s">
        <v>387</v>
      </c>
      <c r="B77" s="114">
        <v>6990</v>
      </c>
      <c r="C77" s="488">
        <v>6990</v>
      </c>
      <c r="D77" s="489">
        <v>0</v>
      </c>
      <c r="E77" s="497">
        <v>6990</v>
      </c>
      <c r="F77" s="114"/>
      <c r="G77" s="114"/>
      <c r="H77" s="418">
        <v>6990</v>
      </c>
      <c r="I77" s="360">
        <v>10000</v>
      </c>
      <c r="J77" s="320"/>
    </row>
    <row r="78" spans="1:12" ht="18" thickBot="1" x14ac:dyDescent="0.4">
      <c r="A78" s="162" t="s">
        <v>408</v>
      </c>
      <c r="B78" s="162">
        <f>SUM(B79:B80)</f>
        <v>290</v>
      </c>
      <c r="C78" s="165">
        <v>290</v>
      </c>
      <c r="D78" s="162">
        <f t="shared" ref="D78:E78" si="23">SUM(D79:D80)</f>
        <v>0</v>
      </c>
      <c r="E78" s="166">
        <f t="shared" si="23"/>
        <v>1114.06</v>
      </c>
      <c r="F78" s="162">
        <f>C78-E78</f>
        <v>-824.06</v>
      </c>
      <c r="G78" s="162"/>
      <c r="H78" s="416">
        <f>SUM(H79:H80)</f>
        <v>2800</v>
      </c>
      <c r="I78" s="356">
        <f>ROUNDUP(SUM(I79:I80),-2)</f>
        <v>2900</v>
      </c>
      <c r="J78" s="317"/>
      <c r="L78" s="134"/>
    </row>
    <row r="79" spans="1:12" ht="15.6" outlineLevel="1" thickTop="1" thickBot="1" x14ac:dyDescent="0.35">
      <c r="A79" s="113" t="s">
        <v>409</v>
      </c>
      <c r="B79" s="114">
        <v>0</v>
      </c>
      <c r="C79" s="488">
        <v>778.46</v>
      </c>
      <c r="D79" s="489">
        <v>0</v>
      </c>
      <c r="E79" s="497">
        <f>C79</f>
        <v>778.46</v>
      </c>
      <c r="F79" s="114"/>
      <c r="G79" s="114"/>
      <c r="H79" s="418">
        <v>2500</v>
      </c>
      <c r="I79" s="360">
        <v>2500</v>
      </c>
      <c r="J79" s="320"/>
    </row>
    <row r="80" spans="1:12" ht="15" outlineLevel="1" thickBot="1" x14ac:dyDescent="0.35">
      <c r="A80" s="113" t="s">
        <v>410</v>
      </c>
      <c r="B80" s="114">
        <v>290</v>
      </c>
      <c r="C80" s="488">
        <v>335.6</v>
      </c>
      <c r="D80" s="114">
        <v>0</v>
      </c>
      <c r="E80" s="497">
        <f>C80</f>
        <v>335.6</v>
      </c>
      <c r="F80" s="114"/>
      <c r="G80" s="114"/>
      <c r="H80" s="418">
        <v>300</v>
      </c>
      <c r="I80" s="360">
        <v>375</v>
      </c>
      <c r="J80" s="320"/>
    </row>
    <row r="81" spans="1:13" ht="18" thickBot="1" x14ac:dyDescent="0.4">
      <c r="A81" s="162" t="s">
        <v>411</v>
      </c>
      <c r="B81" s="162">
        <f>B82</f>
        <v>420</v>
      </c>
      <c r="C81" s="165">
        <f>C82</f>
        <v>630</v>
      </c>
      <c r="D81" s="162">
        <f>D82</f>
        <v>315</v>
      </c>
      <c r="E81" s="166">
        <f>E82</f>
        <v>840</v>
      </c>
      <c r="F81" s="162">
        <f>C81-E81</f>
        <v>-210</v>
      </c>
      <c r="G81" s="162"/>
      <c r="H81" s="416">
        <f>H82</f>
        <v>1300</v>
      </c>
      <c r="I81" s="356">
        <f>ROUNDUP(I82,-2)</f>
        <v>1000</v>
      </c>
      <c r="J81" s="317"/>
    </row>
    <row r="82" spans="1:13" ht="15.6" outlineLevel="1" thickTop="1" thickBot="1" x14ac:dyDescent="0.35">
      <c r="A82" s="113" t="s">
        <v>412</v>
      </c>
      <c r="B82" s="114">
        <v>420</v>
      </c>
      <c r="C82" s="488">
        <v>630</v>
      </c>
      <c r="D82" s="489">
        <v>315</v>
      </c>
      <c r="E82" s="497">
        <v>840</v>
      </c>
      <c r="F82" s="114"/>
      <c r="G82" s="114"/>
      <c r="H82" s="418">
        <v>1300</v>
      </c>
      <c r="I82" s="360">
        <v>1000</v>
      </c>
      <c r="J82" s="322"/>
      <c r="M82">
        <f>70*12</f>
        <v>840</v>
      </c>
    </row>
    <row r="83" spans="1:13" ht="18.600000000000001" thickBot="1" x14ac:dyDescent="0.4">
      <c r="A83" s="117" t="s">
        <v>413</v>
      </c>
      <c r="B83" s="118">
        <f>SUM(B81,B78,B76,B72,B70,B68,B62,B60,B56,B53,B51,B43,B39,B26,B24,B22,B20,B18,B16,B14,B11,B9,B7,B3)</f>
        <v>260435.06999999995</v>
      </c>
      <c r="C83" s="118">
        <v>278557.46000000002</v>
      </c>
      <c r="D83" s="118">
        <f>SUM(D81,D78,D76,D72,D70,D68,D62,D60,D56,D53,D51,D43,D39,D26,D24,D22,D20,D18,D16,D14,D11,D9,D7,D3)</f>
        <v>193310.03000000003</v>
      </c>
      <c r="E83" s="118">
        <f>SUM(E81,E78,E76,E72,E70,E68,E62,E60,E56,E53,E51,E43,E39,E26,E24,E22,E20,E18,E16,E14,E11,E9,E7,E3)</f>
        <v>394584.26260000007</v>
      </c>
      <c r="F83" s="118">
        <f t="shared" ref="F83:H83" si="24">SUM(F81,F78,F76,F72,F70,F68,F62,F60,F56,F53,F51,F43,F39,F26,F24,F22,F20,F18,F16,F14,F11,F9,F7,F3)</f>
        <v>-124191.42260000002</v>
      </c>
      <c r="G83" s="118">
        <f t="shared" si="24"/>
        <v>0</v>
      </c>
      <c r="H83" s="647">
        <f t="shared" si="24"/>
        <v>872990</v>
      </c>
      <c r="I83" s="364">
        <f>SUM(I81,I78,I76,I72,I70,I68,I62,I60,I56,I53,I51,I43,I39,I26,I24,I22,I20,I18,I16,I14,I11,I9,I7,I3,I74)</f>
        <v>656550</v>
      </c>
      <c r="J83" s="323">
        <f>I130-I83</f>
        <v>207350</v>
      </c>
      <c r="K83" s="136">
        <f>H111-H83</f>
        <v>-606450</v>
      </c>
    </row>
    <row r="84" spans="1:13" ht="18.600000000000001" thickTop="1" thickBot="1" x14ac:dyDescent="0.4">
      <c r="A84" s="120"/>
      <c r="B84" s="109"/>
      <c r="C84" s="156"/>
      <c r="D84" s="109"/>
      <c r="E84" s="145"/>
      <c r="F84" s="109"/>
      <c r="G84" s="109"/>
      <c r="H84" s="420"/>
      <c r="I84" s="362"/>
      <c r="J84" s="324"/>
      <c r="L84" s="6"/>
    </row>
    <row r="85" spans="1:13" ht="19.2" hidden="1" thickTop="1" thickBot="1" x14ac:dyDescent="0.4">
      <c r="A85" s="121" t="s">
        <v>414</v>
      </c>
      <c r="B85" s="122">
        <f>B130-B83</f>
        <v>505193.24</v>
      </c>
      <c r="C85" s="159">
        <v>310367.8</v>
      </c>
      <c r="D85" s="122">
        <f t="shared" ref="D85:E85" si="25">D130-D83</f>
        <v>541032.65</v>
      </c>
      <c r="E85" s="148">
        <f t="shared" si="25"/>
        <v>331109.18339999992</v>
      </c>
      <c r="F85" s="107">
        <f>C85-E85</f>
        <v>-20741.383399999933</v>
      </c>
      <c r="G85" s="122"/>
      <c r="H85" s="423">
        <v>310367.80496732728</v>
      </c>
      <c r="I85" s="365">
        <f>I130-I83</f>
        <v>207350</v>
      </c>
      <c r="J85" s="325"/>
    </row>
    <row r="86" spans="1:13" ht="18.600000000000001" hidden="1" thickTop="1" thickBot="1" x14ac:dyDescent="0.4">
      <c r="A86" s="106"/>
      <c r="B86" s="107"/>
      <c r="C86" s="157"/>
      <c r="D86" s="107"/>
      <c r="E86" s="146"/>
      <c r="F86" s="107"/>
      <c r="G86" s="107"/>
      <c r="H86" s="421"/>
      <c r="I86" s="363"/>
      <c r="J86" s="326"/>
    </row>
    <row r="87" spans="1:13" ht="19.2" hidden="1" thickTop="1" thickBot="1" x14ac:dyDescent="0.4">
      <c r="A87" s="117" t="s">
        <v>415</v>
      </c>
      <c r="B87" s="119">
        <f>SUM(B83,B85)</f>
        <v>765628.30999999994</v>
      </c>
      <c r="C87" s="158">
        <v>632540</v>
      </c>
      <c r="D87" s="119">
        <f>SUM(D83,D85)</f>
        <v>734342.68</v>
      </c>
      <c r="E87" s="149">
        <f>SUM(E83,E85)</f>
        <v>725693.446</v>
      </c>
      <c r="F87" s="107">
        <f>C87-E87</f>
        <v>-93153.445999999996</v>
      </c>
      <c r="G87" s="119"/>
      <c r="H87" s="422">
        <v>632540</v>
      </c>
      <c r="I87" s="366">
        <f>SUM(I83,I85)</f>
        <v>863900</v>
      </c>
      <c r="J87" s="327"/>
      <c r="M87" s="83"/>
    </row>
    <row r="88" spans="1:13" ht="18.600000000000001" thickTop="1" thickBot="1" x14ac:dyDescent="0.4">
      <c r="A88" s="110"/>
      <c r="B88" s="109"/>
      <c r="C88" s="156"/>
      <c r="D88" s="109"/>
      <c r="E88" s="145"/>
      <c r="F88" s="109"/>
      <c r="G88" s="109"/>
      <c r="H88" s="420"/>
      <c r="I88" s="362"/>
      <c r="M88" s="83"/>
    </row>
    <row r="89" spans="1:13" ht="21" thickTop="1" thickBot="1" x14ac:dyDescent="0.45">
      <c r="A89" s="123" t="s">
        <v>416</v>
      </c>
      <c r="B89" s="124"/>
      <c r="C89" s="160"/>
      <c r="D89" s="124"/>
      <c r="E89" s="150"/>
      <c r="F89" s="124"/>
      <c r="G89" s="124"/>
      <c r="H89" s="424"/>
      <c r="I89" s="367"/>
      <c r="J89" s="328"/>
      <c r="M89" s="83"/>
    </row>
    <row r="90" spans="1:13" ht="18.600000000000001" thickTop="1" thickBot="1" x14ac:dyDescent="0.4">
      <c r="A90" s="162" t="s">
        <v>163</v>
      </c>
      <c r="B90" s="162">
        <f>SUM(B91:B94)</f>
        <v>12638.97</v>
      </c>
      <c r="C90" s="165">
        <v>12191.5</v>
      </c>
      <c r="D90" s="162">
        <f t="shared" ref="D90" si="26">SUM(D91:D94)</f>
        <v>9438.4700000000012</v>
      </c>
      <c r="E90" s="166">
        <f>SUM(E91:E94)</f>
        <v>8609.8700000000008</v>
      </c>
      <c r="F90" s="162">
        <f>C90-E90</f>
        <v>3581.6299999999992</v>
      </c>
      <c r="G90" s="162"/>
      <c r="H90" s="416">
        <f>SUM(H91:H94)</f>
        <v>8500</v>
      </c>
      <c r="I90" s="356">
        <f>SUM(I91:I94)</f>
        <v>8500</v>
      </c>
      <c r="J90" s="329"/>
      <c r="M90" s="83"/>
    </row>
    <row r="91" spans="1:13" ht="15.6" outlineLevel="1" thickTop="1" thickBot="1" x14ac:dyDescent="0.35">
      <c r="A91" s="113" t="s">
        <v>417</v>
      </c>
      <c r="B91" s="114">
        <v>3243.14</v>
      </c>
      <c r="C91" s="488">
        <v>1985.85</v>
      </c>
      <c r="D91" s="489">
        <v>1900.46</v>
      </c>
      <c r="E91" s="497">
        <f>C91</f>
        <v>1985.85</v>
      </c>
      <c r="F91" s="114"/>
      <c r="G91" s="114"/>
      <c r="H91" s="418">
        <v>2500</v>
      </c>
      <c r="I91" s="360">
        <v>2500</v>
      </c>
      <c r="J91" s="322"/>
      <c r="M91" s="83"/>
    </row>
    <row r="92" spans="1:13" ht="15" outlineLevel="1" thickBot="1" x14ac:dyDescent="0.35">
      <c r="A92" s="113" t="s">
        <v>418</v>
      </c>
      <c r="B92" s="114">
        <v>9395.83</v>
      </c>
      <c r="C92" s="488">
        <v>6624.02</v>
      </c>
      <c r="D92" s="489">
        <v>7538.01</v>
      </c>
      <c r="E92" s="497">
        <f>C92</f>
        <v>6624.02</v>
      </c>
      <c r="F92" s="114"/>
      <c r="G92" s="114"/>
      <c r="H92" s="418">
        <v>6000</v>
      </c>
      <c r="I92" s="360">
        <v>6000</v>
      </c>
      <c r="J92" s="322"/>
    </row>
    <row r="93" spans="1:13" ht="15" outlineLevel="1" thickBot="1" x14ac:dyDescent="0.35">
      <c r="A93" s="113" t="s">
        <v>419</v>
      </c>
      <c r="B93" s="114">
        <v>0</v>
      </c>
      <c r="C93" s="488">
        <v>0</v>
      </c>
      <c r="D93" s="489">
        <v>0</v>
      </c>
      <c r="E93" s="497">
        <f>C93*1.2</f>
        <v>0</v>
      </c>
      <c r="F93" s="114"/>
      <c r="G93" s="114"/>
      <c r="H93" s="418">
        <v>0</v>
      </c>
      <c r="I93" s="360">
        <v>0</v>
      </c>
      <c r="J93" s="322"/>
    </row>
    <row r="94" spans="1:13" ht="15" outlineLevel="1" thickBot="1" x14ac:dyDescent="0.35">
      <c r="A94" s="113" t="s">
        <v>420</v>
      </c>
      <c r="B94" s="114">
        <v>0</v>
      </c>
      <c r="C94" s="488">
        <v>0</v>
      </c>
      <c r="D94" s="489">
        <v>0</v>
      </c>
      <c r="E94" s="497">
        <v>0</v>
      </c>
      <c r="F94" s="114"/>
      <c r="G94" s="114"/>
      <c r="H94" s="418">
        <v>0</v>
      </c>
      <c r="I94" s="360">
        <v>0</v>
      </c>
      <c r="J94" s="322"/>
    </row>
    <row r="95" spans="1:13" ht="18" thickBot="1" x14ac:dyDescent="0.4">
      <c r="A95" s="162" t="s">
        <v>421</v>
      </c>
      <c r="B95" s="162">
        <f>SUM(B96:B98)</f>
        <v>277182.37</v>
      </c>
      <c r="C95" s="165">
        <v>243224.9</v>
      </c>
      <c r="D95" s="162">
        <f t="shared" ref="D95" si="27">SUM(D96:D98)</f>
        <v>199386.23999999999</v>
      </c>
      <c r="E95" s="166">
        <f>SUM(E96:E98)</f>
        <v>283845.75599999999</v>
      </c>
      <c r="F95" s="162">
        <f>C95-E95</f>
        <v>-40620.856</v>
      </c>
      <c r="G95" s="162"/>
      <c r="H95" s="416">
        <f>ROUNDUP(SUM(H96:H98),-2)</f>
        <v>296900</v>
      </c>
      <c r="I95" s="356">
        <f>ROUNDUP(SUM(I96:I98),-2)</f>
        <v>292400</v>
      </c>
      <c r="J95" s="329"/>
      <c r="K95">
        <f>20/700</f>
        <v>2.8571428571428571E-2</v>
      </c>
    </row>
    <row r="96" spans="1:13" ht="15.6" outlineLevel="1" thickTop="1" thickBot="1" x14ac:dyDescent="0.35">
      <c r="A96" s="113" t="s">
        <v>422</v>
      </c>
      <c r="B96" s="114">
        <v>277182.37</v>
      </c>
      <c r="C96" s="488">
        <v>249343.43</v>
      </c>
      <c r="D96" s="114">
        <v>199386.23999999999</v>
      </c>
      <c r="E96" s="497">
        <f>(1.2*C96)-(E100+E101+E104)</f>
        <v>283845.75599999999</v>
      </c>
      <c r="F96" s="114"/>
      <c r="G96" s="114"/>
      <c r="H96" s="418">
        <v>292361.13</v>
      </c>
      <c r="I96" s="360">
        <f>(E96*1.03)</f>
        <v>292361.12868000002</v>
      </c>
      <c r="J96" s="322"/>
    </row>
    <row r="97" spans="1:13" ht="15" outlineLevel="1" thickBot="1" x14ac:dyDescent="0.35">
      <c r="A97" s="113" t="s">
        <v>423</v>
      </c>
      <c r="B97" s="114"/>
      <c r="C97" s="488">
        <v>4182.28</v>
      </c>
      <c r="D97" s="114"/>
      <c r="E97" s="497"/>
      <c r="F97" s="114"/>
      <c r="G97" s="114"/>
      <c r="H97" s="418">
        <v>4500</v>
      </c>
      <c r="I97" s="360"/>
      <c r="J97" s="322"/>
    </row>
    <row r="98" spans="1:13" ht="15" outlineLevel="1" thickBot="1" x14ac:dyDescent="0.35">
      <c r="A98" s="113" t="s">
        <v>424</v>
      </c>
      <c r="B98" s="114">
        <v>0</v>
      </c>
      <c r="C98" s="488">
        <v>0</v>
      </c>
      <c r="D98" s="489">
        <v>0</v>
      </c>
      <c r="E98" s="497">
        <v>0</v>
      </c>
      <c r="F98" s="114"/>
      <c r="G98" s="114"/>
      <c r="H98" s="418">
        <v>0</v>
      </c>
      <c r="I98" s="360">
        <v>0</v>
      </c>
      <c r="J98" s="322"/>
    </row>
    <row r="99" spans="1:13" ht="18" thickBot="1" x14ac:dyDescent="0.4">
      <c r="A99" s="162" t="s">
        <v>425</v>
      </c>
      <c r="B99" s="162">
        <f>SUM(B100:B101)</f>
        <v>4684.25</v>
      </c>
      <c r="C99" s="165">
        <f>SUM(C100:C101)</f>
        <v>9270.25</v>
      </c>
      <c r="D99" s="162">
        <f t="shared" ref="D99" si="28">SUM(D100:D101)</f>
        <v>2675</v>
      </c>
      <c r="E99" s="166">
        <f>SUM(E100:E101)</f>
        <v>12290.25</v>
      </c>
      <c r="F99" s="162">
        <f>E99-C99</f>
        <v>3020</v>
      </c>
      <c r="G99" s="162"/>
      <c r="H99" s="416">
        <f>SUM(H100:H101)</f>
        <v>15000</v>
      </c>
      <c r="I99" s="356">
        <f>SUM(I100:I101)</f>
        <v>18000</v>
      </c>
      <c r="J99" s="329"/>
      <c r="K99" s="135">
        <f>H99/500</f>
        <v>30</v>
      </c>
      <c r="M99" s="335">
        <f>B100/500</f>
        <v>7</v>
      </c>
    </row>
    <row r="100" spans="1:13" ht="18.600000000000001" outlineLevel="1" thickTop="1" thickBot="1" x14ac:dyDescent="0.4">
      <c r="A100" s="113" t="s">
        <v>426</v>
      </c>
      <c r="B100" s="114">
        <v>3500</v>
      </c>
      <c r="C100" s="488">
        <v>8339.0499999999993</v>
      </c>
      <c r="D100" s="489">
        <v>2500</v>
      </c>
      <c r="E100" s="497">
        <f>C100+(569*K100)</f>
        <v>11184.05</v>
      </c>
      <c r="F100" s="114"/>
      <c r="G100" s="114"/>
      <c r="H100" s="418">
        <v>14000</v>
      </c>
      <c r="I100" s="360">
        <v>17000</v>
      </c>
      <c r="J100" s="324"/>
      <c r="K100" s="59">
        <v>5</v>
      </c>
    </row>
    <row r="101" spans="1:13" ht="15" outlineLevel="1" thickBot="1" x14ac:dyDescent="0.35">
      <c r="A101" s="113" t="s">
        <v>427</v>
      </c>
      <c r="B101" s="114">
        <v>1184.25</v>
      </c>
      <c r="C101" s="488">
        <v>931.2</v>
      </c>
      <c r="D101" s="489">
        <v>175</v>
      </c>
      <c r="E101" s="497">
        <f>C101+(35*K100)</f>
        <v>1106.2</v>
      </c>
      <c r="F101" s="114"/>
      <c r="G101" s="114"/>
      <c r="H101" s="418">
        <v>1000</v>
      </c>
      <c r="I101" s="360">
        <v>1000</v>
      </c>
      <c r="J101" s="322"/>
    </row>
    <row r="102" spans="1:13" ht="18" thickBot="1" x14ac:dyDescent="0.4">
      <c r="A102" s="162" t="s">
        <v>428</v>
      </c>
      <c r="B102" s="162">
        <f>B103</f>
        <v>1240</v>
      </c>
      <c r="C102" s="165">
        <v>1000</v>
      </c>
      <c r="D102" s="162">
        <f t="shared" ref="D102" si="29">D103</f>
        <v>640</v>
      </c>
      <c r="E102" s="166">
        <f>SUM(E103)</f>
        <v>1680</v>
      </c>
      <c r="F102" s="162">
        <f>E102-C102</f>
        <v>680</v>
      </c>
      <c r="G102" s="162"/>
      <c r="H102" s="416">
        <f>H103</f>
        <v>1500</v>
      </c>
      <c r="I102" s="356">
        <f>SUM(I103)</f>
        <v>2000</v>
      </c>
      <c r="J102" s="329"/>
    </row>
    <row r="103" spans="1:13" ht="15.6" outlineLevel="1" thickTop="1" thickBot="1" x14ac:dyDescent="0.35">
      <c r="A103" s="113" t="s">
        <v>429</v>
      </c>
      <c r="B103" s="114">
        <v>1240</v>
      </c>
      <c r="C103" s="488">
        <v>1580</v>
      </c>
      <c r="D103" s="489">
        <v>640</v>
      </c>
      <c r="E103" s="497">
        <f>C103+(20*K100)</f>
        <v>1680</v>
      </c>
      <c r="F103" s="114"/>
      <c r="G103" s="114"/>
      <c r="H103" s="418">
        <v>1500</v>
      </c>
      <c r="I103" s="360">
        <v>2000</v>
      </c>
      <c r="J103" s="322"/>
    </row>
    <row r="104" spans="1:13" ht="18" thickBot="1" x14ac:dyDescent="0.4">
      <c r="A104" s="162" t="s">
        <v>13</v>
      </c>
      <c r="B104" s="162">
        <f>SUM(B105:B110)</f>
        <v>0</v>
      </c>
      <c r="C104" s="165">
        <v>0</v>
      </c>
      <c r="D104" s="162">
        <f>SUM(D105:D110)</f>
        <v>0</v>
      </c>
      <c r="E104" s="166">
        <f>SUM(E105:E110)</f>
        <v>3076.11</v>
      </c>
      <c r="F104" s="162">
        <f>E104-C104</f>
        <v>3076.11</v>
      </c>
      <c r="G104" s="162"/>
      <c r="H104" s="416">
        <f>SUM(H105:H110)</f>
        <v>0</v>
      </c>
      <c r="I104" s="356">
        <f>SUM(I105:I110)</f>
        <v>0</v>
      </c>
      <c r="J104" s="329"/>
    </row>
    <row r="105" spans="1:13" ht="15.6" outlineLevel="1" thickTop="1" thickBot="1" x14ac:dyDescent="0.35">
      <c r="A105" s="113" t="s">
        <v>420</v>
      </c>
      <c r="B105" s="114">
        <v>0</v>
      </c>
      <c r="C105" s="488">
        <v>0</v>
      </c>
      <c r="D105" s="489">
        <v>0</v>
      </c>
      <c r="E105" s="497">
        <v>0</v>
      </c>
      <c r="F105" s="114"/>
      <c r="G105" s="114"/>
      <c r="H105" s="418"/>
      <c r="I105" s="360">
        <v>0</v>
      </c>
      <c r="J105" s="322"/>
    </row>
    <row r="106" spans="1:13" ht="15" outlineLevel="1" thickBot="1" x14ac:dyDescent="0.35">
      <c r="A106" s="113" t="s">
        <v>430</v>
      </c>
      <c r="B106" s="114">
        <v>0</v>
      </c>
      <c r="C106" s="488">
        <v>0</v>
      </c>
      <c r="D106" s="489">
        <v>0</v>
      </c>
      <c r="E106" s="497">
        <f t="shared" ref="E106:E110" si="30">D106</f>
        <v>0</v>
      </c>
      <c r="F106" s="114"/>
      <c r="G106" s="114"/>
      <c r="H106" s="418"/>
      <c r="I106" s="360">
        <v>0</v>
      </c>
      <c r="J106" s="322"/>
    </row>
    <row r="107" spans="1:13" ht="15" outlineLevel="1" thickBot="1" x14ac:dyDescent="0.35">
      <c r="A107" s="113" t="s">
        <v>431</v>
      </c>
      <c r="B107" s="114">
        <v>0</v>
      </c>
      <c r="C107" s="488">
        <v>3076.11</v>
      </c>
      <c r="D107" s="489">
        <v>0</v>
      </c>
      <c r="E107" s="497">
        <f>C107</f>
        <v>3076.11</v>
      </c>
      <c r="F107" s="114"/>
      <c r="G107" s="114"/>
      <c r="H107" s="418"/>
      <c r="I107" s="360">
        <v>0</v>
      </c>
      <c r="J107" s="322"/>
    </row>
    <row r="108" spans="1:13" ht="15" outlineLevel="1" thickBot="1" x14ac:dyDescent="0.35">
      <c r="A108" s="113" t="s">
        <v>432</v>
      </c>
      <c r="B108" s="114">
        <v>0</v>
      </c>
      <c r="C108" s="488">
        <v>0</v>
      </c>
      <c r="D108" s="489">
        <v>0</v>
      </c>
      <c r="E108" s="497">
        <f t="shared" si="30"/>
        <v>0</v>
      </c>
      <c r="F108" s="114"/>
      <c r="G108" s="114"/>
      <c r="H108" s="418"/>
      <c r="I108" s="360">
        <v>0</v>
      </c>
      <c r="J108" s="322"/>
    </row>
    <row r="109" spans="1:13" ht="15" outlineLevel="1" thickBot="1" x14ac:dyDescent="0.35">
      <c r="A109" s="113" t="s">
        <v>433</v>
      </c>
      <c r="B109" s="114">
        <v>0</v>
      </c>
      <c r="C109" s="488">
        <v>0</v>
      </c>
      <c r="D109" s="489"/>
      <c r="E109" s="497">
        <v>0</v>
      </c>
      <c r="F109" s="114"/>
      <c r="G109" s="114"/>
      <c r="H109" s="418"/>
      <c r="I109" s="360">
        <v>0</v>
      </c>
      <c r="J109" s="322"/>
    </row>
    <row r="110" spans="1:13" ht="15" outlineLevel="1" thickBot="1" x14ac:dyDescent="0.35">
      <c r="A110" s="113" t="s">
        <v>434</v>
      </c>
      <c r="B110" s="114">
        <v>0</v>
      </c>
      <c r="C110" s="488">
        <v>0</v>
      </c>
      <c r="D110" s="489">
        <v>0</v>
      </c>
      <c r="E110" s="497">
        <f t="shared" si="30"/>
        <v>0</v>
      </c>
      <c r="F110" s="114"/>
      <c r="G110" s="114"/>
      <c r="H110" s="418"/>
      <c r="I110" s="360">
        <v>0</v>
      </c>
      <c r="J110" s="322"/>
    </row>
    <row r="111" spans="1:13" ht="18.600000000000001" thickBot="1" x14ac:dyDescent="0.4">
      <c r="A111" s="127" t="s">
        <v>435</v>
      </c>
      <c r="B111" s="118">
        <f>SUM(B104,B102,B99,B95,B90)</f>
        <v>295745.58999999997</v>
      </c>
      <c r="C111" s="168">
        <v>266540</v>
      </c>
      <c r="D111" s="118">
        <f t="shared" ref="D111:E111" si="31">SUM(D104,D102,D99,D95,D90)</f>
        <v>212139.71</v>
      </c>
      <c r="E111" s="147">
        <f t="shared" si="31"/>
        <v>309501.98599999998</v>
      </c>
      <c r="F111" s="119">
        <f>E111-C111</f>
        <v>42961.985999999975</v>
      </c>
      <c r="G111" s="118"/>
      <c r="H111" s="425">
        <v>266540</v>
      </c>
      <c r="I111" s="352">
        <f t="shared" ref="I111" si="32">SUM(I104,I102,I99,I95,I90)</f>
        <v>320900</v>
      </c>
      <c r="J111" s="323"/>
    </row>
    <row r="112" spans="1:13" ht="18.600000000000001" thickTop="1" thickBot="1" x14ac:dyDescent="0.4">
      <c r="A112" s="110"/>
      <c r="B112" s="109"/>
      <c r="C112" s="156"/>
      <c r="D112" s="109"/>
      <c r="E112" s="145"/>
      <c r="F112" s="109"/>
      <c r="G112" s="109"/>
      <c r="H112" s="420"/>
      <c r="I112" s="362"/>
      <c r="J112" s="324"/>
    </row>
    <row r="113" spans="1:10" ht="21" thickTop="1" thickBot="1" x14ac:dyDescent="0.45">
      <c r="A113" s="125" t="s">
        <v>436</v>
      </c>
      <c r="B113" s="126"/>
      <c r="C113" s="161"/>
      <c r="D113" s="126"/>
      <c r="E113" s="151"/>
      <c r="F113" s="126"/>
      <c r="G113" s="126"/>
      <c r="H113" s="426"/>
      <c r="I113" s="368"/>
      <c r="J113" s="330"/>
    </row>
    <row r="114" spans="1:10" ht="18.600000000000001" thickTop="1" thickBot="1" x14ac:dyDescent="0.4">
      <c r="A114" s="162" t="s">
        <v>437</v>
      </c>
      <c r="B114" s="162">
        <f>SUM(B115:B117)</f>
        <v>270554.18</v>
      </c>
      <c r="C114" s="165">
        <f>SUM(C115:C117)</f>
        <v>208819.33000000002</v>
      </c>
      <c r="D114" s="162">
        <f t="shared" ref="D114" si="33">SUM(D115:D117)</f>
        <v>319536.92000000004</v>
      </c>
      <c r="E114" s="165">
        <f>SUM(E115:E117)</f>
        <v>202494.62</v>
      </c>
      <c r="F114" s="162">
        <f>E114-C114</f>
        <v>-6324.710000000021</v>
      </c>
      <c r="G114" s="162"/>
      <c r="H114" s="416">
        <f>ROUND(SUM(H115:H117),-2)</f>
        <v>189700</v>
      </c>
      <c r="I114" s="356">
        <f>ROUND(SUM(I115:I117),-2)</f>
        <v>202500</v>
      </c>
      <c r="J114" s="329"/>
    </row>
    <row r="115" spans="1:10" ht="15.6" outlineLevel="1" thickTop="1" thickBot="1" x14ac:dyDescent="0.35">
      <c r="A115" s="113" t="s">
        <v>438</v>
      </c>
      <c r="B115" s="114">
        <v>203390.02</v>
      </c>
      <c r="C115" s="488">
        <v>110271.93</v>
      </c>
      <c r="D115" s="489">
        <v>238735.64</v>
      </c>
      <c r="E115" s="488">
        <v>108202.09</v>
      </c>
      <c r="F115" s="114"/>
      <c r="G115" s="114"/>
      <c r="H115" s="418">
        <v>84286.26</v>
      </c>
      <c r="I115" s="360">
        <f t="shared" ref="I115:I116" si="34">E115</f>
        <v>108202.09</v>
      </c>
      <c r="J115" s="322"/>
    </row>
    <row r="116" spans="1:10" ht="15" outlineLevel="1" thickBot="1" x14ac:dyDescent="0.35">
      <c r="A116" s="113" t="s">
        <v>439</v>
      </c>
      <c r="B116" s="114">
        <v>40708.300000000003</v>
      </c>
      <c r="C116" s="488">
        <v>66060.39</v>
      </c>
      <c r="D116" s="489">
        <v>53265.01</v>
      </c>
      <c r="E116" s="488">
        <v>59946.38</v>
      </c>
      <c r="F116" s="114"/>
      <c r="G116" s="114"/>
      <c r="H116" s="418">
        <v>71245.710000000006</v>
      </c>
      <c r="I116" s="360">
        <f t="shared" si="34"/>
        <v>59946.38</v>
      </c>
      <c r="J116" s="322"/>
    </row>
    <row r="117" spans="1:10" ht="15" outlineLevel="1" thickBot="1" x14ac:dyDescent="0.35">
      <c r="A117" s="113" t="s">
        <v>440</v>
      </c>
      <c r="B117" s="114">
        <v>26455.86</v>
      </c>
      <c r="C117" s="488">
        <v>32487.01</v>
      </c>
      <c r="D117" s="489">
        <v>27536.27</v>
      </c>
      <c r="E117" s="488">
        <v>34346.15</v>
      </c>
      <c r="F117" s="114"/>
      <c r="G117" s="114"/>
      <c r="H117" s="418">
        <v>34213.230000000003</v>
      </c>
      <c r="I117" s="360">
        <f>E117</f>
        <v>34346.15</v>
      </c>
      <c r="J117" s="322"/>
    </row>
    <row r="118" spans="1:10" ht="18" thickBot="1" x14ac:dyDescent="0.4">
      <c r="A118" s="162" t="s">
        <v>441</v>
      </c>
      <c r="B118" s="162">
        <f>SUM(B119:B122)</f>
        <v>198999.54</v>
      </c>
      <c r="C118" s="165">
        <f>SUM(C119:C122)</f>
        <v>210583.37</v>
      </c>
      <c r="D118" s="162">
        <f t="shared" ref="D118" si="35">SUM(D119:D122)</f>
        <v>200592.05</v>
      </c>
      <c r="E118" s="165">
        <f>SUM(E119:E122)</f>
        <v>210646.3</v>
      </c>
      <c r="F118" s="162">
        <f>E118-C118</f>
        <v>62.929999999993015</v>
      </c>
      <c r="G118" s="162"/>
      <c r="H118" s="416">
        <f>ROUND(SUM(H119:H122),-2)</f>
        <v>201100</v>
      </c>
      <c r="I118" s="356">
        <f>ROUND(SUM(I119:I122),-2)</f>
        <v>210600</v>
      </c>
      <c r="J118" s="329"/>
    </row>
    <row r="119" spans="1:10" ht="15.6" outlineLevel="1" thickTop="1" thickBot="1" x14ac:dyDescent="0.35">
      <c r="A119" s="113" t="s">
        <v>442</v>
      </c>
      <c r="B119" s="114">
        <v>52091.45</v>
      </c>
      <c r="C119" s="488">
        <v>56071.72</v>
      </c>
      <c r="D119" s="489">
        <v>52680.22</v>
      </c>
      <c r="E119" s="488">
        <f t="shared" ref="E119:E120" si="36">C119</f>
        <v>56071.72</v>
      </c>
      <c r="F119" s="114"/>
      <c r="G119" s="114"/>
      <c r="H119" s="418">
        <v>52877.23</v>
      </c>
      <c r="I119" s="360">
        <f t="shared" ref="I119:I121" si="37">E119</f>
        <v>56071.72</v>
      </c>
      <c r="J119" s="322"/>
    </row>
    <row r="120" spans="1:10" ht="15" outlineLevel="1" thickBot="1" x14ac:dyDescent="0.35">
      <c r="A120" s="113" t="s">
        <v>443</v>
      </c>
      <c r="B120" s="114">
        <v>25759.91</v>
      </c>
      <c r="C120" s="488">
        <v>27728.21</v>
      </c>
      <c r="D120" s="489">
        <v>26051.07</v>
      </c>
      <c r="E120" s="488">
        <f t="shared" si="36"/>
        <v>27728.21</v>
      </c>
      <c r="F120" s="114"/>
      <c r="G120" s="114"/>
      <c r="H120" s="418">
        <v>26148.49</v>
      </c>
      <c r="I120" s="360">
        <f t="shared" si="37"/>
        <v>27728.21</v>
      </c>
      <c r="J120" s="322"/>
    </row>
    <row r="121" spans="1:10" ht="15" outlineLevel="1" thickBot="1" x14ac:dyDescent="0.35">
      <c r="A121" s="113" t="s">
        <v>444</v>
      </c>
      <c r="B121" s="114">
        <v>51519.83</v>
      </c>
      <c r="C121" s="488">
        <v>55456.42</v>
      </c>
      <c r="D121" s="489">
        <v>52102.14</v>
      </c>
      <c r="E121" s="488">
        <v>55456.42</v>
      </c>
      <c r="F121" s="114"/>
      <c r="G121" s="114"/>
      <c r="H121" s="418">
        <v>52296.99</v>
      </c>
      <c r="I121" s="360">
        <f t="shared" si="37"/>
        <v>55456.42</v>
      </c>
      <c r="J121" s="322"/>
    </row>
    <row r="122" spans="1:10" ht="15" outlineLevel="1" thickBot="1" x14ac:dyDescent="0.35">
      <c r="A122" s="113" t="s">
        <v>445</v>
      </c>
      <c r="B122" s="114">
        <v>69628.350000000006</v>
      </c>
      <c r="C122" s="488">
        <v>71327.02</v>
      </c>
      <c r="D122" s="114">
        <v>69758.62</v>
      </c>
      <c r="E122" s="488">
        <v>71389.95</v>
      </c>
      <c r="F122" s="114"/>
      <c r="G122" s="114"/>
      <c r="H122" s="418">
        <v>69802.58</v>
      </c>
      <c r="I122" s="360">
        <f>E122</f>
        <v>71389.95</v>
      </c>
      <c r="J122" s="322"/>
    </row>
    <row r="123" spans="1:10" ht="15" thickBot="1" x14ac:dyDescent="0.35">
      <c r="A123" s="169" t="s">
        <v>446</v>
      </c>
      <c r="B123" s="170">
        <f>SUM(B114,B118)</f>
        <v>469553.72</v>
      </c>
      <c r="C123" s="646">
        <f>SUM(C114,C118)</f>
        <v>419402.7</v>
      </c>
      <c r="D123" s="171">
        <f t="shared" ref="D123" si="38">SUM(D114,D118)</f>
        <v>520128.97000000003</v>
      </c>
      <c r="E123" s="646">
        <f>SUM(E114,E118)</f>
        <v>413140.92</v>
      </c>
      <c r="F123" s="172">
        <f>E123-C123</f>
        <v>-6261.7800000000279</v>
      </c>
      <c r="G123" s="170"/>
      <c r="H123" s="646">
        <f>SUM(H114,H118)</f>
        <v>390800</v>
      </c>
      <c r="I123" s="369">
        <f>SUM(I114,I118)</f>
        <v>413100</v>
      </c>
      <c r="J123" s="331"/>
    </row>
    <row r="124" spans="1:10" ht="19.2" thickTop="1" thickBot="1" x14ac:dyDescent="0.4">
      <c r="A124" s="128" t="s">
        <v>447</v>
      </c>
      <c r="B124" s="118">
        <f>SUM(B123,B111)</f>
        <v>765299.30999999994</v>
      </c>
      <c r="C124" s="168">
        <f>C118+C114</f>
        <v>419402.7</v>
      </c>
      <c r="D124" s="118">
        <f t="shared" ref="D124:E124" si="39">SUM(D123,D111)</f>
        <v>732268.68</v>
      </c>
      <c r="E124" s="168">
        <f t="shared" si="39"/>
        <v>722642.90599999996</v>
      </c>
      <c r="F124" s="119">
        <f>E124-C124</f>
        <v>303240.20599999995</v>
      </c>
      <c r="G124" s="118"/>
      <c r="H124" s="416">
        <f>SUM(H123,H111)</f>
        <v>657340</v>
      </c>
      <c r="I124" s="356">
        <f>SUM(I123,I111)</f>
        <v>734000</v>
      </c>
      <c r="J124" s="323"/>
    </row>
    <row r="125" spans="1:10" ht="18.600000000000001" thickTop="1" thickBot="1" x14ac:dyDescent="0.4">
      <c r="A125" s="162" t="s">
        <v>448</v>
      </c>
      <c r="B125" s="162"/>
      <c r="C125" s="165"/>
      <c r="D125" s="162"/>
      <c r="E125" s="166"/>
      <c r="F125" s="162"/>
      <c r="G125" s="162"/>
      <c r="H125" s="416"/>
      <c r="I125" s="356"/>
      <c r="J125" s="329"/>
    </row>
    <row r="126" spans="1:10" ht="18.600000000000001" thickTop="1" thickBot="1" x14ac:dyDescent="0.4">
      <c r="A126" s="162" t="s">
        <v>449</v>
      </c>
      <c r="B126" s="452"/>
      <c r="C126" s="490">
        <v>95896.51</v>
      </c>
      <c r="D126" s="491"/>
      <c r="E126" s="492">
        <v>95900.59</v>
      </c>
      <c r="F126" s="452"/>
      <c r="G126" s="452"/>
      <c r="H126" s="416">
        <v>95900</v>
      </c>
      <c r="I126" s="453">
        <v>127500</v>
      </c>
      <c r="J126" s="329"/>
    </row>
    <row r="127" spans="1:10" ht="19.2" thickTop="1" thickBot="1" x14ac:dyDescent="0.4">
      <c r="A127" s="106" t="s">
        <v>450</v>
      </c>
      <c r="B127" s="107">
        <f>SUM(B128:B129)</f>
        <v>329</v>
      </c>
      <c r="C127" s="157">
        <f>C128+C129</f>
        <v>2570.54</v>
      </c>
      <c r="D127" s="107">
        <f t="shared" ref="D127:E127" si="40">SUM(D128:D129)</f>
        <v>2074</v>
      </c>
      <c r="E127" s="146">
        <f t="shared" si="40"/>
        <v>3050.54</v>
      </c>
      <c r="F127" s="107">
        <f>E127-C127</f>
        <v>480</v>
      </c>
      <c r="G127" s="107"/>
      <c r="H127" s="425">
        <f>SUM(H128:H129)</f>
        <v>2400</v>
      </c>
      <c r="I127" s="363">
        <f>SUM(I128:I129)</f>
        <v>2400</v>
      </c>
      <c r="J127" s="326"/>
    </row>
    <row r="128" spans="1:10" ht="15.6" outlineLevel="1" thickTop="1" thickBot="1" x14ac:dyDescent="0.35">
      <c r="A128" s="113" t="s">
        <v>451</v>
      </c>
      <c r="B128" s="114">
        <v>329</v>
      </c>
      <c r="C128" s="488">
        <v>2570.54</v>
      </c>
      <c r="D128" s="489">
        <v>2074</v>
      </c>
      <c r="E128" s="497">
        <f>C128+480</f>
        <v>3050.54</v>
      </c>
      <c r="F128" s="114"/>
      <c r="G128" s="114"/>
      <c r="H128" s="418">
        <v>2400</v>
      </c>
      <c r="I128" s="360">
        <f>120*20</f>
        <v>2400</v>
      </c>
      <c r="J128" s="322"/>
    </row>
    <row r="129" spans="1:11" ht="15" outlineLevel="1" thickBot="1" x14ac:dyDescent="0.35">
      <c r="A129" s="113" t="s">
        <v>434</v>
      </c>
      <c r="B129" s="114">
        <v>0</v>
      </c>
      <c r="C129" s="488">
        <v>0</v>
      </c>
      <c r="D129" s="489">
        <v>0</v>
      </c>
      <c r="E129" s="497">
        <v>0</v>
      </c>
      <c r="F129" s="114"/>
      <c r="G129" s="114"/>
      <c r="H129" s="418">
        <v>0</v>
      </c>
      <c r="I129" s="360">
        <v>0</v>
      </c>
      <c r="J129" s="322"/>
    </row>
    <row r="130" spans="1:11" s="72" customFormat="1" ht="21.6" thickBot="1" x14ac:dyDescent="0.45">
      <c r="A130" s="93" t="s">
        <v>452</v>
      </c>
      <c r="B130" s="94">
        <f>B124+B127</f>
        <v>765628.30999999994</v>
      </c>
      <c r="C130" s="174">
        <f>C124+C127</f>
        <v>421973.24</v>
      </c>
      <c r="D130" s="94">
        <f>D124+D127</f>
        <v>734342.68</v>
      </c>
      <c r="E130" s="174">
        <f>E124+E127</f>
        <v>725693.446</v>
      </c>
      <c r="F130" s="94"/>
      <c r="G130" s="94"/>
      <c r="H130" s="173">
        <f>H124+H127</f>
        <v>659740</v>
      </c>
      <c r="I130" s="370">
        <f>I124+I127+I126</f>
        <v>863900</v>
      </c>
      <c r="J130" s="332"/>
      <c r="K130" s="97"/>
    </row>
    <row r="131" spans="1:11" ht="17.399999999999999" x14ac:dyDescent="0.35">
      <c r="A131" s="96"/>
      <c r="B131" s="87"/>
      <c r="C131" s="433"/>
      <c r="D131" s="87"/>
      <c r="E131" s="87"/>
      <c r="F131" s="137"/>
      <c r="G131" s="87"/>
      <c r="H131" s="87"/>
      <c r="I131" s="353"/>
      <c r="J131" s="87"/>
    </row>
    <row r="132" spans="1:11" x14ac:dyDescent="0.3">
      <c r="A132" s="87"/>
      <c r="B132" s="87"/>
      <c r="C132" s="87"/>
      <c r="D132" s="87"/>
      <c r="E132" s="87"/>
      <c r="F132" s="137"/>
      <c r="G132" s="87"/>
      <c r="H132" s="87"/>
      <c r="I132" s="353"/>
      <c r="J132" s="87"/>
    </row>
    <row r="133" spans="1:11" x14ac:dyDescent="0.3">
      <c r="I133" s="353"/>
    </row>
  </sheetData>
  <pageMargins left="0.7" right="0.7" top="0.75" bottom="0.75" header="0.3" footer="0.3"/>
  <pageSetup paperSize="5" scale="65" fitToHeight="0" orientation="portrait" r:id="rId1"/>
  <ignoredErrors>
    <ignoredError sqref="C11 E22 E23:E24 E107 E118 C124 C127 E51 E8 E15 E19:E20 I8 I15" formula="1"/>
    <ignoredError sqref="H62 H78 H90:I90 H95 H104 H118 C118 C99 H3 H11 C43 C53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14D24-6C1C-48C3-B69B-42FDC2281CD4}">
  <sheetPr>
    <tabColor rgb="FF92D050"/>
    <pageSetUpPr fitToPage="1"/>
  </sheetPr>
  <dimension ref="A1:X152"/>
  <sheetViews>
    <sheetView zoomScale="130" zoomScaleNormal="130" workbookViewId="0">
      <pane ySplit="2" topLeftCell="A3" activePane="bottomLeft" state="frozen"/>
      <selection pane="bottomLeft" activeCell="E69" sqref="E69"/>
    </sheetView>
  </sheetViews>
  <sheetFormatPr defaultColWidth="8.88671875" defaultRowHeight="14.4" x14ac:dyDescent="0.3"/>
  <cols>
    <col min="1" max="1" width="33.6640625" bestFit="1" customWidth="1"/>
    <col min="2" max="2" width="12.44140625" bestFit="1" customWidth="1"/>
    <col min="3" max="3" width="14.109375" bestFit="1" customWidth="1"/>
    <col min="4" max="4" width="12.33203125" bestFit="1" customWidth="1"/>
    <col min="5" max="6" width="14.44140625" customWidth="1"/>
    <col min="7" max="7" width="11.109375" bestFit="1" customWidth="1"/>
    <col min="8" max="8" width="12.44140625" bestFit="1" customWidth="1"/>
    <col min="9" max="9" width="14.109375" bestFit="1" customWidth="1"/>
    <col min="10" max="10" width="12.33203125" bestFit="1" customWidth="1"/>
    <col min="12" max="12" width="19" bestFit="1" customWidth="1"/>
    <col min="13" max="13" width="11.21875" bestFit="1" customWidth="1"/>
    <col min="14" max="14" width="10.33203125" bestFit="1" customWidth="1"/>
    <col min="15" max="15" width="11.44140625" bestFit="1" customWidth="1"/>
    <col min="16" max="16" width="10.5546875" bestFit="1" customWidth="1"/>
    <col min="17" max="17" width="10.109375" bestFit="1" customWidth="1"/>
    <col min="18" max="18" width="10.5546875" bestFit="1" customWidth="1"/>
    <col min="22" max="22" width="11.33203125" customWidth="1"/>
  </cols>
  <sheetData>
    <row r="1" spans="1:24" ht="43.8" customHeight="1" thickBot="1" x14ac:dyDescent="0.4">
      <c r="A1" s="684" t="s">
        <v>453</v>
      </c>
      <c r="B1" s="760" t="s">
        <v>454</v>
      </c>
      <c r="C1" s="760"/>
      <c r="D1" s="760"/>
      <c r="E1" s="685"/>
      <c r="F1" s="686"/>
      <c r="G1" s="686"/>
      <c r="H1" s="759" t="s">
        <v>455</v>
      </c>
      <c r="I1" s="759"/>
      <c r="J1" s="759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</row>
    <row r="2" spans="1:24" ht="15" hidden="1" thickBot="1" x14ac:dyDescent="0.35">
      <c r="A2" s="682"/>
      <c r="B2" s="683"/>
      <c r="C2" s="683"/>
      <c r="D2" s="683"/>
      <c r="E2" s="681"/>
      <c r="F2" s="500"/>
      <c r="G2" s="500"/>
      <c r="H2" s="683"/>
      <c r="I2" s="683"/>
      <c r="J2" s="683"/>
      <c r="K2" s="500"/>
      <c r="L2" s="500"/>
      <c r="M2" s="500"/>
      <c r="N2" s="500"/>
      <c r="O2" s="500"/>
      <c r="P2" s="500"/>
      <c r="Q2" s="500"/>
      <c r="R2" s="500"/>
      <c r="S2" s="500"/>
      <c r="T2" s="500"/>
      <c r="U2" s="500"/>
      <c r="V2" s="500"/>
      <c r="W2" s="500"/>
      <c r="X2" s="500"/>
    </row>
    <row r="3" spans="1:24" ht="15" thickBot="1" x14ac:dyDescent="0.35">
      <c r="A3" s="748" t="s">
        <v>456</v>
      </c>
      <c r="B3" s="750" t="s">
        <v>80</v>
      </c>
      <c r="C3" s="512" t="s">
        <v>35</v>
      </c>
      <c r="D3" s="513" t="s">
        <v>36</v>
      </c>
      <c r="E3" s="513" t="s">
        <v>457</v>
      </c>
      <c r="F3" s="512" t="s">
        <v>458</v>
      </c>
      <c r="G3" s="513" t="s">
        <v>459</v>
      </c>
      <c r="H3" s="750" t="s">
        <v>80</v>
      </c>
      <c r="I3" s="512" t="s">
        <v>35</v>
      </c>
      <c r="J3" s="513" t="s">
        <v>36</v>
      </c>
      <c r="K3" s="500"/>
      <c r="L3" s="752" t="s">
        <v>460</v>
      </c>
      <c r="M3" s="753"/>
      <c r="N3" s="753"/>
      <c r="O3" s="753"/>
      <c r="P3" s="753"/>
      <c r="Q3" s="753"/>
      <c r="R3" s="754"/>
      <c r="S3" s="500"/>
      <c r="T3" s="500"/>
      <c r="U3" s="500"/>
      <c r="V3" s="500"/>
      <c r="W3" s="500"/>
      <c r="X3" s="500"/>
    </row>
    <row r="4" spans="1:24" ht="15" thickBot="1" x14ac:dyDescent="0.35">
      <c r="A4" s="749"/>
      <c r="B4" s="751"/>
      <c r="C4" s="514">
        <v>0.83</v>
      </c>
      <c r="D4" s="515">
        <v>0.17</v>
      </c>
      <c r="E4" s="516" t="s">
        <v>461</v>
      </c>
      <c r="F4" s="517"/>
      <c r="G4" s="516" t="s">
        <v>461</v>
      </c>
      <c r="H4" s="751"/>
      <c r="I4" s="514">
        <v>0.83</v>
      </c>
      <c r="J4" s="514">
        <v>0.17</v>
      </c>
      <c r="K4" s="500"/>
      <c r="L4" s="502"/>
      <c r="M4" s="503" t="s">
        <v>462</v>
      </c>
      <c r="N4" s="503" t="s">
        <v>463</v>
      </c>
      <c r="O4" s="503" t="s">
        <v>464</v>
      </c>
      <c r="P4" s="503" t="s">
        <v>465</v>
      </c>
      <c r="Q4" s="503" t="s">
        <v>466</v>
      </c>
      <c r="R4" s="504" t="s">
        <v>467</v>
      </c>
      <c r="S4" s="500"/>
      <c r="T4" s="500"/>
      <c r="U4" s="500"/>
      <c r="V4" s="500"/>
      <c r="W4" s="500"/>
      <c r="X4" s="500"/>
    </row>
    <row r="5" spans="1:24" ht="15" thickBot="1" x14ac:dyDescent="0.35">
      <c r="A5" s="518" t="s">
        <v>468</v>
      </c>
      <c r="B5" s="656">
        <v>50000</v>
      </c>
      <c r="C5" s="656">
        <f>ROUND(B5*$C$4,2)</f>
        <v>41500</v>
      </c>
      <c r="D5" s="656">
        <f>ROUND(B5*$D$4,2)</f>
        <v>8500</v>
      </c>
      <c r="E5" s="521">
        <v>50000</v>
      </c>
      <c r="F5" s="625">
        <f>Expenditures!M3</f>
        <v>0.06</v>
      </c>
      <c r="G5" s="521">
        <f>E5*(1+F5)</f>
        <v>53000</v>
      </c>
      <c r="H5" s="656">
        <f>G5</f>
        <v>53000</v>
      </c>
      <c r="I5" s="656">
        <f>ROUND(H5*$I$4,2)</f>
        <v>43990</v>
      </c>
      <c r="J5" s="656">
        <f>ROUND(H5*$J$4,2)</f>
        <v>9010</v>
      </c>
      <c r="K5" s="500"/>
      <c r="L5" s="505" t="s">
        <v>469</v>
      </c>
      <c r="M5" s="506">
        <v>899.08</v>
      </c>
      <c r="N5" s="506">
        <v>547.82000000000005</v>
      </c>
      <c r="O5" s="506">
        <v>899.09</v>
      </c>
      <c r="P5" s="506">
        <v>1656.94</v>
      </c>
      <c r="Q5" s="506">
        <v>321.36</v>
      </c>
      <c r="R5" s="507">
        <v>1292.81</v>
      </c>
      <c r="S5" s="500"/>
      <c r="T5" s="500"/>
      <c r="U5" s="500"/>
      <c r="V5" s="500"/>
      <c r="W5" s="500"/>
      <c r="X5" s="500"/>
    </row>
    <row r="6" spans="1:24" ht="15" customHeight="1" thickBot="1" x14ac:dyDescent="0.35">
      <c r="A6" s="523" t="s">
        <v>56</v>
      </c>
      <c r="B6" s="655">
        <v>0</v>
      </c>
      <c r="C6" s="655">
        <f t="shared" ref="C6:C11" si="0">ROUND(B6*$C$4,2)</f>
        <v>0</v>
      </c>
      <c r="D6" s="655">
        <f t="shared" ref="D6:D11" si="1">ROUND(B6*$D$4,2)</f>
        <v>0</v>
      </c>
      <c r="E6" s="500"/>
      <c r="F6" s="640"/>
      <c r="G6" s="500"/>
      <c r="H6" s="655">
        <v>0</v>
      </c>
      <c r="I6" s="656">
        <v>0</v>
      </c>
      <c r="J6" s="656">
        <v>0</v>
      </c>
      <c r="K6" s="500"/>
      <c r="L6" s="505" t="s">
        <v>470</v>
      </c>
      <c r="M6" s="506">
        <f>M5*1.08</f>
        <v>971.0064000000001</v>
      </c>
      <c r="N6" s="506">
        <f t="shared" ref="N6:R6" si="2">N5*1.08</f>
        <v>591.64560000000006</v>
      </c>
      <c r="O6" s="506">
        <f t="shared" si="2"/>
        <v>971.01720000000012</v>
      </c>
      <c r="P6" s="506">
        <f t="shared" si="2"/>
        <v>1789.4952000000001</v>
      </c>
      <c r="Q6" s="506">
        <f t="shared" si="2"/>
        <v>347.06880000000001</v>
      </c>
      <c r="R6" s="507">
        <f t="shared" si="2"/>
        <v>1396.2348</v>
      </c>
      <c r="S6" s="500"/>
      <c r="T6" s="500"/>
      <c r="U6" s="500"/>
      <c r="V6" s="500"/>
      <c r="W6" s="500"/>
      <c r="X6" s="500"/>
    </row>
    <row r="7" spans="1:24" ht="15.9" customHeight="1" thickBot="1" x14ac:dyDescent="0.35">
      <c r="A7" s="523" t="s">
        <v>42</v>
      </c>
      <c r="B7" s="655">
        <f>B5*M11</f>
        <v>5955</v>
      </c>
      <c r="C7" s="655">
        <f t="shared" si="0"/>
        <v>4942.6499999999996</v>
      </c>
      <c r="D7" s="655">
        <f t="shared" si="1"/>
        <v>1012.35</v>
      </c>
      <c r="E7" s="500"/>
      <c r="F7" s="641"/>
      <c r="G7" s="500"/>
      <c r="H7" s="655">
        <f>H5*M11</f>
        <v>6312.3</v>
      </c>
      <c r="I7" s="656">
        <f t="shared" ref="I7:I11" si="3">ROUND(H7*$I$4,2)</f>
        <v>5239.21</v>
      </c>
      <c r="J7" s="656">
        <f t="shared" ref="J7:J11" si="4">ROUND(H7*$J$4,2)</f>
        <v>1073.0899999999999</v>
      </c>
      <c r="K7" s="500"/>
      <c r="L7" s="508" t="s">
        <v>471</v>
      </c>
      <c r="M7" s="645">
        <f>(M5*3)+(M6*9)</f>
        <v>11436.2976</v>
      </c>
      <c r="N7" s="645">
        <f t="shared" ref="N7:R7" si="5">(N5*3)+(N6*9)</f>
        <v>6968.2704000000003</v>
      </c>
      <c r="O7" s="645">
        <f t="shared" si="5"/>
        <v>11436.424800000001</v>
      </c>
      <c r="P7" s="645">
        <f t="shared" si="5"/>
        <v>21076.2768</v>
      </c>
      <c r="Q7" s="645">
        <f t="shared" si="5"/>
        <v>4087.6992</v>
      </c>
      <c r="R7" s="645">
        <f t="shared" si="5"/>
        <v>16444.5432</v>
      </c>
      <c r="S7" s="500"/>
      <c r="T7" s="500"/>
      <c r="U7" s="509"/>
      <c r="V7" s="500"/>
      <c r="W7" s="500"/>
      <c r="X7" s="500"/>
    </row>
    <row r="8" spans="1:24" ht="15.9" customHeight="1" thickBot="1" x14ac:dyDescent="0.35">
      <c r="A8" s="523" t="s">
        <v>472</v>
      </c>
      <c r="B8" s="655">
        <f>B5*M12</f>
        <v>3825</v>
      </c>
      <c r="C8" s="655">
        <f t="shared" si="0"/>
        <v>3174.75</v>
      </c>
      <c r="D8" s="655">
        <f t="shared" si="1"/>
        <v>650.25</v>
      </c>
      <c r="E8" s="500"/>
      <c r="F8" s="641"/>
      <c r="G8" s="500"/>
      <c r="H8" s="655">
        <f>H5*M12</f>
        <v>4054.5</v>
      </c>
      <c r="I8" s="656">
        <f t="shared" si="3"/>
        <v>3365.24</v>
      </c>
      <c r="J8" s="656">
        <f t="shared" si="4"/>
        <v>689.27</v>
      </c>
      <c r="K8" s="500"/>
      <c r="L8" s="508" t="s">
        <v>473</v>
      </c>
      <c r="M8" s="645">
        <f>M7+(76.5*12)</f>
        <v>12354.2976</v>
      </c>
      <c r="N8" s="645">
        <f t="shared" ref="N8:R8" si="6">N7+(76.5*12)</f>
        <v>7886.2704000000003</v>
      </c>
      <c r="O8" s="645">
        <f t="shared" si="6"/>
        <v>12354.424800000001</v>
      </c>
      <c r="P8" s="645">
        <f t="shared" si="6"/>
        <v>21994.2768</v>
      </c>
      <c r="Q8" s="645">
        <f t="shared" si="6"/>
        <v>5005.6992</v>
      </c>
      <c r="R8" s="645">
        <f t="shared" si="6"/>
        <v>17362.5432</v>
      </c>
      <c r="S8" s="500"/>
      <c r="T8" s="500"/>
      <c r="U8" s="500"/>
      <c r="V8" s="500"/>
      <c r="W8" s="500"/>
      <c r="X8" s="500"/>
    </row>
    <row r="9" spans="1:24" ht="15" thickBot="1" x14ac:dyDescent="0.35">
      <c r="A9" s="523" t="s">
        <v>474</v>
      </c>
      <c r="B9" s="655">
        <f>ROUND(B5*M13*0.01,2)</f>
        <v>1125</v>
      </c>
      <c r="C9" s="655">
        <f t="shared" si="0"/>
        <v>933.75</v>
      </c>
      <c r="D9" s="655">
        <f t="shared" si="1"/>
        <v>191.25</v>
      </c>
      <c r="E9" s="500"/>
      <c r="F9" s="641"/>
      <c r="G9" s="500"/>
      <c r="H9" s="655">
        <f>ROUND(H5*M13*0.01,2)</f>
        <v>1192.5</v>
      </c>
      <c r="I9" s="656">
        <f t="shared" si="3"/>
        <v>989.78</v>
      </c>
      <c r="J9" s="656">
        <f t="shared" si="4"/>
        <v>202.73</v>
      </c>
      <c r="K9" s="500"/>
      <c r="L9" s="505" t="s">
        <v>475</v>
      </c>
      <c r="M9" s="506">
        <f>7.17*52</f>
        <v>372.84</v>
      </c>
      <c r="N9" s="506">
        <f>14.81*52</f>
        <v>770.12</v>
      </c>
      <c r="O9" s="506">
        <f>7.64*52</f>
        <v>397.28</v>
      </c>
      <c r="P9" s="506">
        <f>9.59*52</f>
        <v>498.68</v>
      </c>
      <c r="Q9" s="506">
        <f>4.78*52</f>
        <v>248.56</v>
      </c>
      <c r="R9" s="507">
        <f>9.59*52</f>
        <v>498.68</v>
      </c>
      <c r="S9" s="500"/>
      <c r="T9" s="500"/>
      <c r="U9" s="500"/>
      <c r="V9" s="500"/>
      <c r="W9" s="500"/>
      <c r="X9" s="500"/>
    </row>
    <row r="10" spans="1:24" ht="15.9" customHeight="1" thickBot="1" x14ac:dyDescent="0.35">
      <c r="A10" s="523" t="s">
        <v>47</v>
      </c>
      <c r="B10" s="655">
        <f>M8</f>
        <v>12354.2976</v>
      </c>
      <c r="C10" s="655">
        <f t="shared" si="0"/>
        <v>10254.07</v>
      </c>
      <c r="D10" s="655">
        <f t="shared" si="1"/>
        <v>2100.23</v>
      </c>
      <c r="E10" s="500"/>
      <c r="F10" s="641"/>
      <c r="G10" s="500"/>
      <c r="H10" s="655">
        <f>B10</f>
        <v>12354.2976</v>
      </c>
      <c r="I10" s="656">
        <f t="shared" si="3"/>
        <v>10254.07</v>
      </c>
      <c r="J10" s="656">
        <f t="shared" si="4"/>
        <v>2100.23</v>
      </c>
      <c r="K10" s="500"/>
      <c r="M10" s="500"/>
      <c r="N10" s="500"/>
      <c r="O10" s="500"/>
      <c r="P10" s="500"/>
      <c r="Q10" s="500"/>
      <c r="R10" s="500"/>
      <c r="S10" s="500"/>
      <c r="T10" s="500"/>
      <c r="U10" s="500"/>
      <c r="V10" s="500"/>
      <c r="W10" s="500"/>
      <c r="X10" s="500"/>
    </row>
    <row r="11" spans="1:24" ht="15.9" customHeight="1" thickBot="1" x14ac:dyDescent="0.35">
      <c r="A11" s="527" t="s">
        <v>476</v>
      </c>
      <c r="B11" s="657">
        <f>M9</f>
        <v>372.84</v>
      </c>
      <c r="C11" s="657">
        <f t="shared" si="0"/>
        <v>309.45999999999998</v>
      </c>
      <c r="D11" s="657">
        <f t="shared" si="1"/>
        <v>63.38</v>
      </c>
      <c r="E11" s="500"/>
      <c r="F11" s="641"/>
      <c r="G11" s="500"/>
      <c r="H11" s="657">
        <f>B11</f>
        <v>372.84</v>
      </c>
      <c r="I11" s="656">
        <f t="shared" si="3"/>
        <v>309.45999999999998</v>
      </c>
      <c r="J11" s="656">
        <f t="shared" si="4"/>
        <v>63.38</v>
      </c>
      <c r="K11" s="500"/>
      <c r="L11" s="500" t="s">
        <v>477</v>
      </c>
      <c r="M11" s="651">
        <v>0.1191</v>
      </c>
      <c r="N11" s="500"/>
      <c r="O11" s="500"/>
      <c r="P11" s="500"/>
      <c r="Q11" s="500"/>
      <c r="R11" s="500"/>
      <c r="S11" s="500"/>
      <c r="T11" s="500"/>
      <c r="U11" s="500"/>
      <c r="V11" s="510"/>
      <c r="W11" s="500"/>
      <c r="X11" s="500"/>
    </row>
    <row r="12" spans="1:24" ht="15" thickBot="1" x14ac:dyDescent="0.35">
      <c r="A12" s="529" t="s">
        <v>49</v>
      </c>
      <c r="B12" s="658">
        <f>SUM(B5:B11)</f>
        <v>73632.137600000002</v>
      </c>
      <c r="C12" s="658">
        <f t="shared" ref="C12:D12" si="7">SUM(C5:C11)</f>
        <v>61114.68</v>
      </c>
      <c r="D12" s="659">
        <f t="shared" si="7"/>
        <v>12517.46</v>
      </c>
      <c r="E12" s="509"/>
      <c r="F12" s="500"/>
      <c r="G12" s="500"/>
      <c r="H12" s="658">
        <f>SUM(H5:H11)</f>
        <v>77286.437600000005</v>
      </c>
      <c r="I12" s="658">
        <f t="shared" ref="I12" si="8">SUM(I5:I11)</f>
        <v>64147.759999999995</v>
      </c>
      <c r="J12" s="659">
        <f t="shared" ref="J12" si="9">SUM(J5:J11)</f>
        <v>13138.699999999999</v>
      </c>
      <c r="K12" s="500"/>
      <c r="L12" s="500" t="s">
        <v>44</v>
      </c>
      <c r="M12" s="651">
        <v>7.6499999999999999E-2</v>
      </c>
      <c r="N12" s="500"/>
      <c r="O12" s="500"/>
      <c r="P12" s="500"/>
      <c r="Q12" s="500"/>
      <c r="R12" s="500"/>
      <c r="S12" s="500"/>
      <c r="T12" s="500"/>
      <c r="U12" s="500"/>
      <c r="V12" s="500"/>
      <c r="W12" s="500"/>
      <c r="X12" s="500"/>
    </row>
    <row r="13" spans="1:24" x14ac:dyDescent="0.3">
      <c r="A13" s="643"/>
      <c r="B13" s="652"/>
      <c r="C13" s="653"/>
      <c r="D13" s="653"/>
      <c r="E13" s="653"/>
      <c r="F13" s="654"/>
      <c r="G13" s="654"/>
      <c r="H13" s="652"/>
      <c r="I13" s="522"/>
      <c r="J13" s="500"/>
      <c r="K13" s="500"/>
      <c r="L13" s="500" t="s">
        <v>478</v>
      </c>
      <c r="M13" s="500">
        <v>2.25</v>
      </c>
      <c r="N13" s="500"/>
      <c r="O13" s="500"/>
      <c r="P13" s="500"/>
      <c r="Q13" s="500"/>
      <c r="R13" s="500"/>
      <c r="S13" s="500"/>
      <c r="T13" s="500"/>
      <c r="U13" s="500"/>
      <c r="V13" s="500"/>
      <c r="W13" s="500"/>
      <c r="X13" s="500"/>
    </row>
    <row r="14" spans="1:24" ht="15" thickBot="1" x14ac:dyDescent="0.35">
      <c r="A14" s="531"/>
      <c r="B14" s="500"/>
      <c r="C14" s="500"/>
      <c r="D14" s="500"/>
      <c r="E14" s="500"/>
      <c r="F14" s="500"/>
      <c r="G14" s="500"/>
      <c r="H14" s="500"/>
      <c r="I14" s="500"/>
      <c r="J14" s="500"/>
      <c r="K14" s="500"/>
      <c r="L14" s="500" t="s">
        <v>479</v>
      </c>
      <c r="M14" s="500">
        <v>14.5</v>
      </c>
      <c r="N14" s="500"/>
      <c r="O14" s="500"/>
      <c r="P14" s="500"/>
      <c r="Q14" s="500"/>
      <c r="R14" s="500"/>
      <c r="S14" s="500"/>
      <c r="T14" s="500"/>
      <c r="U14" s="500"/>
      <c r="V14" s="500"/>
      <c r="W14" s="500"/>
      <c r="X14" s="500"/>
    </row>
    <row r="15" spans="1:24" x14ac:dyDescent="0.3">
      <c r="A15" s="748" t="s">
        <v>480</v>
      </c>
      <c r="B15" s="750" t="s">
        <v>80</v>
      </c>
      <c r="C15" s="512" t="s">
        <v>35</v>
      </c>
      <c r="D15" s="513" t="s">
        <v>36</v>
      </c>
      <c r="E15" s="513" t="s">
        <v>457</v>
      </c>
      <c r="F15" s="512" t="s">
        <v>458</v>
      </c>
      <c r="G15" s="513" t="s">
        <v>459</v>
      </c>
      <c r="H15" s="750" t="s">
        <v>80</v>
      </c>
      <c r="I15" s="512" t="s">
        <v>35</v>
      </c>
      <c r="J15" s="513" t="s">
        <v>36</v>
      </c>
      <c r="K15" s="500"/>
      <c r="L15" s="500"/>
      <c r="M15" s="500"/>
      <c r="N15" s="500"/>
      <c r="O15" s="500"/>
      <c r="P15" s="500"/>
      <c r="Q15" s="500"/>
      <c r="R15" s="500"/>
      <c r="S15" s="500"/>
      <c r="T15" s="500"/>
      <c r="U15" s="500"/>
      <c r="V15" s="500"/>
      <c r="W15" s="500"/>
      <c r="X15" s="500"/>
    </row>
    <row r="16" spans="1:24" ht="15" thickBot="1" x14ac:dyDescent="0.35">
      <c r="A16" s="749"/>
      <c r="B16" s="751"/>
      <c r="C16" s="514">
        <v>0.57999999999999996</v>
      </c>
      <c r="D16" s="515">
        <v>0.42</v>
      </c>
      <c r="E16" s="516" t="s">
        <v>461</v>
      </c>
      <c r="F16" s="517"/>
      <c r="G16" s="516" t="s">
        <v>461</v>
      </c>
      <c r="H16" s="751"/>
      <c r="I16" s="514">
        <v>0.57999999999999996</v>
      </c>
      <c r="J16" s="514">
        <v>0.42</v>
      </c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</row>
    <row r="17" spans="1:24" ht="15" thickBot="1" x14ac:dyDescent="0.35">
      <c r="A17" s="518" t="s">
        <v>468</v>
      </c>
      <c r="B17" s="656">
        <f>(E17*2080)</f>
        <v>63044.799999999996</v>
      </c>
      <c r="C17" s="656">
        <f t="shared" ref="C17:C23" si="10">ROUND(B17*$C$16,2)</f>
        <v>36565.980000000003</v>
      </c>
      <c r="D17" s="656">
        <f t="shared" ref="D17:D23" si="11">ROUND(B17*$D$16,2)</f>
        <v>26478.82</v>
      </c>
      <c r="E17" s="532">
        <v>30.31</v>
      </c>
      <c r="F17" s="625">
        <f>Expenditures!M3</f>
        <v>0.06</v>
      </c>
      <c r="G17" s="624">
        <f>E17*(1+F17)</f>
        <v>32.128599999999999</v>
      </c>
      <c r="H17" s="656">
        <f>(E17*(1+F17))*2080</f>
        <v>66827.487999999998</v>
      </c>
      <c r="I17" s="656">
        <f>ROUND(H17*$I$16,2)</f>
        <v>38759.94</v>
      </c>
      <c r="J17" s="656">
        <f>ROUND(H17*$J$16,2)</f>
        <v>28067.54</v>
      </c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0"/>
      <c r="X17" s="500"/>
    </row>
    <row r="18" spans="1:24" ht="15" customHeight="1" thickBot="1" x14ac:dyDescent="0.35">
      <c r="A18" s="533" t="s">
        <v>56</v>
      </c>
      <c r="B18" s="655">
        <f>(E17*1.5)*(2080*0.1)</f>
        <v>9456.7199999999993</v>
      </c>
      <c r="C18" s="655">
        <f t="shared" si="10"/>
        <v>5484.9</v>
      </c>
      <c r="D18" s="655">
        <f t="shared" si="11"/>
        <v>3971.82</v>
      </c>
      <c r="E18" s="500"/>
      <c r="F18" s="640"/>
      <c r="G18" s="500"/>
      <c r="H18" s="655">
        <f>(G17*1.5)*(2080*0.1)</f>
        <v>10024.123199999998</v>
      </c>
      <c r="I18" s="656">
        <f t="shared" ref="I18:I23" si="12">ROUND(H18*$I$16,2)</f>
        <v>5813.99</v>
      </c>
      <c r="J18" s="656">
        <f t="shared" ref="J18:J23" si="13">ROUND(H18*$J$16,2)</f>
        <v>4210.13</v>
      </c>
      <c r="K18" s="500"/>
      <c r="L18" s="500"/>
      <c r="M18" s="500"/>
      <c r="N18" s="500"/>
      <c r="O18" s="500"/>
      <c r="P18" s="500"/>
      <c r="Q18" s="500"/>
      <c r="R18" s="500"/>
      <c r="S18" s="500"/>
      <c r="T18" s="500"/>
      <c r="U18" s="500"/>
      <c r="V18" s="500"/>
      <c r="W18" s="500"/>
      <c r="X18" s="500"/>
    </row>
    <row r="19" spans="1:24" ht="15" thickBot="1" x14ac:dyDescent="0.35">
      <c r="A19" s="523" t="s">
        <v>42</v>
      </c>
      <c r="B19" s="655">
        <f>((B17+B18)*M11)</f>
        <v>8634.9310319999986</v>
      </c>
      <c r="C19" s="655">
        <f t="shared" si="10"/>
        <v>5008.26</v>
      </c>
      <c r="D19" s="655">
        <f t="shared" si="11"/>
        <v>3626.67</v>
      </c>
      <c r="E19" s="500"/>
      <c r="F19" s="641"/>
      <c r="G19" s="500"/>
      <c r="H19" s="655">
        <f>H17*M11</f>
        <v>7959.1538207999993</v>
      </c>
      <c r="I19" s="656">
        <f t="shared" si="12"/>
        <v>4616.3100000000004</v>
      </c>
      <c r="J19" s="656">
        <f t="shared" si="13"/>
        <v>3342.84</v>
      </c>
      <c r="K19" s="500"/>
      <c r="L19" s="500"/>
      <c r="M19" s="500"/>
      <c r="N19" s="510"/>
      <c r="O19" s="500"/>
      <c r="P19" s="500"/>
      <c r="Q19" s="500"/>
      <c r="R19" s="500"/>
      <c r="S19" s="500"/>
      <c r="T19" s="500"/>
      <c r="U19" s="500"/>
      <c r="V19" s="500"/>
      <c r="W19" s="500"/>
      <c r="X19" s="500"/>
    </row>
    <row r="20" spans="1:24" ht="15" thickBot="1" x14ac:dyDescent="0.35">
      <c r="A20" s="523" t="s">
        <v>472</v>
      </c>
      <c r="B20" s="655">
        <f>(B17+B18)*M12</f>
        <v>5546.3662799999993</v>
      </c>
      <c r="C20" s="655">
        <f t="shared" si="10"/>
        <v>3216.89</v>
      </c>
      <c r="D20" s="655">
        <f t="shared" si="11"/>
        <v>2329.4699999999998</v>
      </c>
      <c r="E20" s="500"/>
      <c r="F20" s="641"/>
      <c r="G20" s="500"/>
      <c r="H20" s="655">
        <f>H17*M12</f>
        <v>5112.3028319999994</v>
      </c>
      <c r="I20" s="656">
        <f t="shared" si="12"/>
        <v>2965.14</v>
      </c>
      <c r="J20" s="656">
        <f t="shared" si="13"/>
        <v>2147.17</v>
      </c>
      <c r="K20" s="500"/>
      <c r="L20" s="500"/>
      <c r="M20" s="500"/>
      <c r="N20" s="510"/>
      <c r="O20" s="500"/>
      <c r="P20" s="500"/>
      <c r="Q20" s="500"/>
      <c r="R20" s="500"/>
      <c r="S20" s="500"/>
      <c r="T20" s="500"/>
      <c r="U20" s="500"/>
      <c r="V20" s="500"/>
      <c r="W20" s="500"/>
      <c r="X20" s="500"/>
    </row>
    <row r="21" spans="1:24" ht="15" thickBot="1" x14ac:dyDescent="0.35">
      <c r="A21" s="523" t="s">
        <v>474</v>
      </c>
      <c r="B21" s="655">
        <f>ROUND((B17)*M14*0.01,2)</f>
        <v>9141.5</v>
      </c>
      <c r="C21" s="655">
        <f t="shared" si="10"/>
        <v>5302.07</v>
      </c>
      <c r="D21" s="655">
        <f t="shared" si="11"/>
        <v>3839.43</v>
      </c>
      <c r="E21" s="500"/>
      <c r="F21" s="641"/>
      <c r="G21" s="500"/>
      <c r="H21" s="655">
        <f>ROUND((H17)*M14*0.01,2)</f>
        <v>9689.99</v>
      </c>
      <c r="I21" s="656">
        <f t="shared" si="12"/>
        <v>5620.19</v>
      </c>
      <c r="J21" s="656">
        <f t="shared" si="13"/>
        <v>4069.8</v>
      </c>
      <c r="K21" s="500"/>
      <c r="L21" s="500"/>
      <c r="M21" s="500"/>
      <c r="N21" s="522"/>
      <c r="O21" s="500"/>
      <c r="P21" s="500"/>
      <c r="Q21" s="500"/>
      <c r="R21" s="500"/>
      <c r="S21" s="500"/>
      <c r="T21" s="500"/>
      <c r="U21" s="500"/>
      <c r="V21" s="500"/>
      <c r="W21" s="500"/>
      <c r="X21" s="500"/>
    </row>
    <row r="22" spans="1:24" ht="15" thickBot="1" x14ac:dyDescent="0.35">
      <c r="A22" s="523" t="s">
        <v>47</v>
      </c>
      <c r="B22" s="655">
        <f>N8</f>
        <v>7886.2704000000003</v>
      </c>
      <c r="C22" s="655">
        <f t="shared" si="10"/>
        <v>4574.04</v>
      </c>
      <c r="D22" s="655">
        <f t="shared" si="11"/>
        <v>3312.23</v>
      </c>
      <c r="E22" s="500"/>
      <c r="F22" s="641"/>
      <c r="G22" s="500"/>
      <c r="H22" s="655">
        <f>B22</f>
        <v>7886.2704000000003</v>
      </c>
      <c r="I22" s="656">
        <f t="shared" si="12"/>
        <v>4574.04</v>
      </c>
      <c r="J22" s="656">
        <f t="shared" si="13"/>
        <v>3312.23</v>
      </c>
      <c r="K22" s="500"/>
      <c r="L22" s="500"/>
      <c r="M22" s="500"/>
      <c r="N22" s="522"/>
      <c r="O22" s="500"/>
      <c r="P22" s="500"/>
      <c r="Q22" s="500"/>
      <c r="R22" s="500"/>
      <c r="S22" s="500"/>
      <c r="T22" s="500"/>
      <c r="U22" s="500"/>
      <c r="V22" s="500"/>
      <c r="W22" s="500"/>
      <c r="X22" s="500"/>
    </row>
    <row r="23" spans="1:24" ht="15" thickBot="1" x14ac:dyDescent="0.35">
      <c r="A23" s="527" t="s">
        <v>476</v>
      </c>
      <c r="B23" s="657">
        <f>N9</f>
        <v>770.12</v>
      </c>
      <c r="C23" s="657">
        <f t="shared" si="10"/>
        <v>446.67</v>
      </c>
      <c r="D23" s="657">
        <f t="shared" si="11"/>
        <v>323.45</v>
      </c>
      <c r="E23" s="500"/>
      <c r="F23" s="641"/>
      <c r="G23" s="500"/>
      <c r="H23" s="657">
        <f>B23</f>
        <v>770.12</v>
      </c>
      <c r="I23" s="656">
        <f t="shared" si="12"/>
        <v>446.67</v>
      </c>
      <c r="J23" s="656">
        <f t="shared" si="13"/>
        <v>323.45</v>
      </c>
      <c r="K23" s="500"/>
      <c r="L23" s="500"/>
      <c r="M23" s="500"/>
      <c r="N23" s="522"/>
      <c r="O23" s="500"/>
      <c r="P23" s="500"/>
      <c r="Q23" s="500"/>
      <c r="R23" s="500"/>
      <c r="S23" s="500"/>
      <c r="T23" s="500"/>
      <c r="U23" s="500"/>
      <c r="V23" s="500"/>
      <c r="W23" s="500"/>
      <c r="X23" s="500"/>
    </row>
    <row r="24" spans="1:24" ht="15" thickBot="1" x14ac:dyDescent="0.35">
      <c r="A24" s="529" t="s">
        <v>49</v>
      </c>
      <c r="B24" s="658">
        <f>SUM(B17:B23)</f>
        <v>104480.70771199997</v>
      </c>
      <c r="C24" s="658">
        <f t="shared" ref="C24:D24" si="14">SUM(C17:C23)</f>
        <v>60598.810000000005</v>
      </c>
      <c r="D24" s="659">
        <f t="shared" si="14"/>
        <v>43881.89</v>
      </c>
      <c r="E24" s="509"/>
      <c r="F24" s="641"/>
      <c r="G24" s="500"/>
      <c r="H24" s="658">
        <f>SUM(H17:H23)</f>
        <v>108269.44825279999</v>
      </c>
      <c r="I24" s="658">
        <f t="shared" ref="I24" si="15">SUM(I17:I23)</f>
        <v>62796.28</v>
      </c>
      <c r="J24" s="659">
        <f t="shared" ref="J24" si="16">SUM(J17:J23)</f>
        <v>45473.16</v>
      </c>
      <c r="K24" s="500"/>
      <c r="L24" s="500"/>
      <c r="M24" s="500"/>
      <c r="N24" s="510"/>
      <c r="O24" s="500"/>
      <c r="P24" s="500"/>
      <c r="Q24" s="500"/>
      <c r="R24" s="500"/>
      <c r="S24" s="500"/>
      <c r="T24" s="500"/>
      <c r="U24" s="500"/>
      <c r="V24" s="500"/>
      <c r="W24" s="500"/>
      <c r="X24" s="500"/>
    </row>
    <row r="25" spans="1:24" x14ac:dyDescent="0.3">
      <c r="A25" s="531"/>
      <c r="B25" s="500"/>
      <c r="C25" s="500"/>
      <c r="D25" s="500"/>
      <c r="E25" s="500"/>
      <c r="F25" s="641"/>
      <c r="G25" s="500"/>
      <c r="H25" s="500"/>
      <c r="I25" s="500"/>
      <c r="J25" s="500"/>
      <c r="K25" s="500"/>
      <c r="L25" s="500"/>
      <c r="M25" s="500"/>
      <c r="N25" s="510"/>
      <c r="O25" s="500"/>
      <c r="P25" s="500"/>
      <c r="Q25" s="500"/>
      <c r="R25" s="500"/>
      <c r="S25" s="500"/>
      <c r="T25" s="500"/>
      <c r="U25" s="500"/>
      <c r="V25" s="500"/>
      <c r="W25" s="500"/>
      <c r="X25" s="500"/>
    </row>
    <row r="26" spans="1:24" ht="15" thickBot="1" x14ac:dyDescent="0.35">
      <c r="A26" s="531"/>
      <c r="B26" s="500"/>
      <c r="C26" s="500"/>
      <c r="D26" s="500"/>
      <c r="E26" s="500"/>
      <c r="F26" s="642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500"/>
    </row>
    <row r="27" spans="1:24" x14ac:dyDescent="0.3">
      <c r="A27" s="748" t="s">
        <v>481</v>
      </c>
      <c r="B27" s="750" t="s">
        <v>80</v>
      </c>
      <c r="C27" s="512" t="s">
        <v>35</v>
      </c>
      <c r="D27" s="513" t="s">
        <v>36</v>
      </c>
      <c r="E27" s="513" t="s">
        <v>457</v>
      </c>
      <c r="F27" s="512" t="s">
        <v>458</v>
      </c>
      <c r="G27" s="513" t="s">
        <v>459</v>
      </c>
      <c r="H27" s="750" t="s">
        <v>80</v>
      </c>
      <c r="I27" s="512" t="s">
        <v>35</v>
      </c>
      <c r="J27" s="513" t="s">
        <v>36</v>
      </c>
      <c r="K27" s="500"/>
      <c r="L27" s="500"/>
      <c r="M27" s="500"/>
      <c r="N27" s="500"/>
      <c r="O27" s="500"/>
      <c r="P27" s="500"/>
      <c r="Q27" s="500"/>
      <c r="R27" s="500"/>
    </row>
    <row r="28" spans="1:24" ht="15" thickBot="1" x14ac:dyDescent="0.35">
      <c r="A28" s="749"/>
      <c r="B28" s="751"/>
      <c r="C28" s="514">
        <v>0.81</v>
      </c>
      <c r="D28" s="515">
        <v>0.19</v>
      </c>
      <c r="E28" s="516" t="s">
        <v>461</v>
      </c>
      <c r="F28" s="517"/>
      <c r="G28" s="516" t="s">
        <v>461</v>
      </c>
      <c r="H28" s="751"/>
      <c r="I28" s="514">
        <v>0.81</v>
      </c>
      <c r="J28" s="514">
        <v>0.19</v>
      </c>
      <c r="K28" s="500"/>
      <c r="L28" s="500"/>
      <c r="M28" s="500"/>
      <c r="N28" s="500"/>
      <c r="O28" s="500"/>
      <c r="P28" s="500"/>
      <c r="Q28" s="500"/>
      <c r="R28" s="500"/>
    </row>
    <row r="29" spans="1:24" ht="14.4" customHeight="1" thickBot="1" x14ac:dyDescent="0.35">
      <c r="A29" s="518" t="s">
        <v>468</v>
      </c>
      <c r="B29" s="656">
        <f>(E29*2080)+(E29*2080*F29)</f>
        <v>35276.800000000003</v>
      </c>
      <c r="C29" s="656">
        <f>ROUND(B29*$C$28,2)</f>
        <v>28574.21</v>
      </c>
      <c r="D29" s="656">
        <f>ROUND(B29*$D$28,2)</f>
        <v>6702.59</v>
      </c>
      <c r="E29" s="624">
        <v>16</v>
      </c>
      <c r="F29" s="625">
        <f>Expenditures!M3</f>
        <v>0.06</v>
      </c>
      <c r="G29" s="624">
        <f>E29*(1+F29)</f>
        <v>16.96</v>
      </c>
      <c r="H29" s="656">
        <f>(E29*(1+F29))*2080</f>
        <v>35276.800000000003</v>
      </c>
      <c r="I29" s="656">
        <f>ROUND(H29*$I$28,2)</f>
        <v>28574.21</v>
      </c>
      <c r="J29" s="656">
        <f>ROUND(H29*$J$28,2)</f>
        <v>6702.59</v>
      </c>
      <c r="K29" s="509"/>
      <c r="L29" s="500"/>
      <c r="M29" s="500"/>
      <c r="N29" s="500"/>
      <c r="O29" s="500"/>
      <c r="P29" s="500"/>
      <c r="Q29" s="500"/>
      <c r="R29" s="500"/>
    </row>
    <row r="30" spans="1:24" ht="15" thickBot="1" x14ac:dyDescent="0.35">
      <c r="A30" s="533" t="s">
        <v>56</v>
      </c>
      <c r="B30" s="655">
        <f>(E29*1.5)*(2080*0.05)</f>
        <v>2496</v>
      </c>
      <c r="C30" s="655">
        <f>ROUND(B30*$C$28,2)</f>
        <v>2021.76</v>
      </c>
      <c r="D30" s="655">
        <f>ROUND(B30*$D$28,2)</f>
        <v>474.24</v>
      </c>
      <c r="E30" s="500"/>
      <c r="F30" s="640"/>
      <c r="G30" s="500"/>
      <c r="H30" s="655">
        <f>(G29*1.5)*(2080*0.1)</f>
        <v>5291.52</v>
      </c>
      <c r="I30" s="656">
        <f t="shared" ref="I30:I35" si="17">ROUND(H30*$I$28,2)</f>
        <v>4286.13</v>
      </c>
      <c r="J30" s="656">
        <f t="shared" ref="J30:J35" si="18">ROUND(H30*$J$28,2)</f>
        <v>1005.39</v>
      </c>
      <c r="K30" s="500"/>
      <c r="L30" s="500"/>
      <c r="M30" s="500"/>
      <c r="N30" s="500"/>
      <c r="O30" s="500"/>
      <c r="P30" s="500"/>
      <c r="Q30" s="500"/>
      <c r="R30" s="500"/>
    </row>
    <row r="31" spans="1:24" ht="15" thickBot="1" x14ac:dyDescent="0.35">
      <c r="A31" s="523" t="s">
        <v>42</v>
      </c>
      <c r="B31" s="655">
        <f>((B29+B30)*M11)</f>
        <v>4498.7404800000004</v>
      </c>
      <c r="C31" s="655">
        <f>ROUND(B31*$C$28,2)</f>
        <v>3643.98</v>
      </c>
      <c r="D31" s="655">
        <f>ROUND(B31*$D$28,2)</f>
        <v>854.76</v>
      </c>
      <c r="E31" s="500"/>
      <c r="F31" s="641"/>
      <c r="G31" s="500"/>
      <c r="H31" s="655">
        <f>H29*M11</f>
        <v>4201.4668799999999</v>
      </c>
      <c r="I31" s="656">
        <f t="shared" si="17"/>
        <v>3403.19</v>
      </c>
      <c r="J31" s="656">
        <f t="shared" si="18"/>
        <v>798.28</v>
      </c>
      <c r="K31" s="500"/>
      <c r="L31" s="500"/>
      <c r="M31" s="500"/>
      <c r="N31" s="500"/>
      <c r="O31" s="500"/>
      <c r="P31" s="500"/>
      <c r="Q31" s="500"/>
      <c r="R31" s="500"/>
    </row>
    <row r="32" spans="1:24" ht="15" thickBot="1" x14ac:dyDescent="0.35">
      <c r="A32" s="523" t="s">
        <v>472</v>
      </c>
      <c r="B32" s="655">
        <f>(B29+B30)*M12</f>
        <v>2889.6192000000001</v>
      </c>
      <c r="C32" s="655">
        <f>ROUND(B32*$C$28,2)</f>
        <v>2340.59</v>
      </c>
      <c r="D32" s="655">
        <f>ROUND(B32*$D$28,2)</f>
        <v>549.03</v>
      </c>
      <c r="E32" s="500"/>
      <c r="F32" s="641"/>
      <c r="G32" s="500"/>
      <c r="H32" s="655">
        <f>H29*M12</f>
        <v>2698.6752000000001</v>
      </c>
      <c r="I32" s="656">
        <f t="shared" si="17"/>
        <v>2185.9299999999998</v>
      </c>
      <c r="J32" s="656">
        <f t="shared" si="18"/>
        <v>512.75</v>
      </c>
      <c r="K32" s="500"/>
      <c r="L32" s="500"/>
      <c r="M32" s="500"/>
      <c r="N32" s="500"/>
      <c r="O32" s="500"/>
      <c r="P32" s="500"/>
      <c r="Q32" s="500"/>
      <c r="R32" s="500"/>
    </row>
    <row r="33" spans="1:18" ht="15" thickBot="1" x14ac:dyDescent="0.35">
      <c r="A33" s="523" t="s">
        <v>474</v>
      </c>
      <c r="B33" s="655">
        <f>ROUND((B29)*M13*0.01,2)</f>
        <v>793.73</v>
      </c>
      <c r="C33" s="655">
        <f>ROUND(B33*$C$28,2)</f>
        <v>642.91999999999996</v>
      </c>
      <c r="D33" s="655">
        <f>ROUND(B33*$D$28,2)</f>
        <v>150.81</v>
      </c>
      <c r="E33" s="500"/>
      <c r="F33" s="641"/>
      <c r="G33" s="500"/>
      <c r="H33" s="655">
        <f>ROUND((H29)*M13*0.01,2)</f>
        <v>793.73</v>
      </c>
      <c r="I33" s="656">
        <f t="shared" si="17"/>
        <v>642.91999999999996</v>
      </c>
      <c r="J33" s="656">
        <f t="shared" si="18"/>
        <v>150.81</v>
      </c>
      <c r="K33" s="500"/>
      <c r="L33" s="500"/>
      <c r="M33" s="500"/>
      <c r="N33" s="500"/>
      <c r="O33" s="500"/>
      <c r="P33" s="500"/>
      <c r="Q33" s="500"/>
      <c r="R33" s="500"/>
    </row>
    <row r="34" spans="1:18" ht="15" thickBot="1" x14ac:dyDescent="0.35">
      <c r="A34" s="523" t="s">
        <v>47</v>
      </c>
      <c r="B34" s="655">
        <f>O8</f>
        <v>12354.424800000001</v>
      </c>
      <c r="C34" s="655">
        <f t="shared" ref="C34:C35" si="19">ROUND(B34*$C$28,2)</f>
        <v>10007.08</v>
      </c>
      <c r="D34" s="655">
        <f t="shared" ref="D34:D35" si="20">ROUND(B34*$D$28,2)</f>
        <v>2347.34</v>
      </c>
      <c r="E34" s="500"/>
      <c r="F34" s="641"/>
      <c r="G34" s="500"/>
      <c r="H34" s="655">
        <f>B34</f>
        <v>12354.424800000001</v>
      </c>
      <c r="I34" s="656">
        <f t="shared" si="17"/>
        <v>10007.08</v>
      </c>
      <c r="J34" s="656">
        <f t="shared" si="18"/>
        <v>2347.34</v>
      </c>
      <c r="K34" s="500"/>
      <c r="L34" s="500"/>
      <c r="M34" s="500"/>
      <c r="N34" s="500"/>
      <c r="O34" s="500"/>
      <c r="P34" s="500"/>
      <c r="Q34" s="500"/>
      <c r="R34" s="500"/>
    </row>
    <row r="35" spans="1:18" ht="15" thickBot="1" x14ac:dyDescent="0.35">
      <c r="A35" s="527" t="s">
        <v>476</v>
      </c>
      <c r="B35" s="657">
        <f>O9</f>
        <v>397.28</v>
      </c>
      <c r="C35" s="657">
        <f t="shared" si="19"/>
        <v>321.8</v>
      </c>
      <c r="D35" s="657">
        <f t="shared" si="20"/>
        <v>75.48</v>
      </c>
      <c r="E35" s="500"/>
      <c r="F35" s="641"/>
      <c r="G35" s="500"/>
      <c r="H35" s="657">
        <f>B35</f>
        <v>397.28</v>
      </c>
      <c r="I35" s="656">
        <f t="shared" si="17"/>
        <v>321.8</v>
      </c>
      <c r="J35" s="656">
        <f t="shared" si="18"/>
        <v>75.48</v>
      </c>
      <c r="K35" s="500"/>
      <c r="L35" s="500"/>
      <c r="M35" s="500"/>
      <c r="N35" s="500"/>
      <c r="O35" s="500"/>
      <c r="P35" s="500"/>
      <c r="Q35" s="500"/>
      <c r="R35" s="500"/>
    </row>
    <row r="36" spans="1:18" ht="15" thickBot="1" x14ac:dyDescent="0.35">
      <c r="A36" s="529" t="s">
        <v>49</v>
      </c>
      <c r="B36" s="658">
        <f>SUM(B29:B35)</f>
        <v>58706.594480000007</v>
      </c>
      <c r="C36" s="658">
        <f t="shared" ref="C36:D36" si="21">SUM(C29:C35)</f>
        <v>47552.34</v>
      </c>
      <c r="D36" s="659">
        <f t="shared" si="21"/>
        <v>11154.25</v>
      </c>
      <c r="E36" s="509"/>
      <c r="F36" s="500"/>
      <c r="G36" s="500"/>
      <c r="H36" s="658">
        <f>SUM(H29:H35)</f>
        <v>61013.896880000008</v>
      </c>
      <c r="I36" s="658">
        <f t="shared" ref="I36" si="22">SUM(I29:I35)</f>
        <v>49421.26</v>
      </c>
      <c r="J36" s="659">
        <f t="shared" ref="J36" si="23">SUM(J29:J35)</f>
        <v>11592.64</v>
      </c>
      <c r="K36" s="500"/>
      <c r="L36" s="500"/>
      <c r="M36" s="500"/>
      <c r="N36" s="500"/>
      <c r="O36" s="500"/>
      <c r="P36" s="500"/>
      <c r="Q36" s="500"/>
      <c r="R36" s="500"/>
    </row>
    <row r="37" spans="1:18" x14ac:dyDescent="0.3">
      <c r="A37" s="643"/>
      <c r="B37" s="644"/>
      <c r="C37" s="644"/>
      <c r="D37" s="644"/>
      <c r="E37" s="509"/>
      <c r="F37" s="500"/>
      <c r="G37" s="500"/>
      <c r="H37" s="644"/>
      <c r="I37" s="522"/>
      <c r="J37" s="500"/>
      <c r="K37" s="500"/>
      <c r="L37" s="500"/>
      <c r="M37" s="500"/>
      <c r="N37" s="500"/>
      <c r="O37" s="500"/>
      <c r="P37" s="500"/>
      <c r="Q37" s="500"/>
      <c r="R37" s="500"/>
    </row>
    <row r="38" spans="1:18" ht="15" thickBot="1" x14ac:dyDescent="0.35">
      <c r="A38" s="531"/>
      <c r="B38" s="500"/>
      <c r="C38" s="500"/>
      <c r="D38" s="500"/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P38" s="500"/>
      <c r="Q38" s="500"/>
      <c r="R38" s="500"/>
    </row>
    <row r="39" spans="1:18" x14ac:dyDescent="0.3">
      <c r="A39" s="757" t="s">
        <v>482</v>
      </c>
      <c r="B39" s="750" t="s">
        <v>80</v>
      </c>
      <c r="C39" s="512" t="s">
        <v>35</v>
      </c>
      <c r="D39" s="513" t="s">
        <v>36</v>
      </c>
      <c r="E39" s="513" t="s">
        <v>457</v>
      </c>
      <c r="F39" s="512" t="s">
        <v>458</v>
      </c>
      <c r="G39" s="513" t="s">
        <v>459</v>
      </c>
      <c r="H39" s="750" t="s">
        <v>80</v>
      </c>
      <c r="I39" s="512" t="s">
        <v>35</v>
      </c>
      <c r="J39" s="513" t="s">
        <v>36</v>
      </c>
      <c r="K39" s="500"/>
      <c r="L39" s="500"/>
      <c r="M39" s="500"/>
      <c r="N39" s="500"/>
      <c r="O39" s="500"/>
      <c r="P39" s="500"/>
      <c r="Q39" s="500"/>
      <c r="R39" s="500"/>
    </row>
    <row r="40" spans="1:18" ht="15" thickBot="1" x14ac:dyDescent="0.35">
      <c r="A40" s="758"/>
      <c r="B40" s="751"/>
      <c r="C40" s="514">
        <v>0.8</v>
      </c>
      <c r="D40" s="515">
        <v>0.2</v>
      </c>
      <c r="E40" s="516" t="s">
        <v>461</v>
      </c>
      <c r="F40" s="517"/>
      <c r="G40" s="516" t="s">
        <v>461</v>
      </c>
      <c r="H40" s="751"/>
      <c r="I40" s="514">
        <v>0.8</v>
      </c>
      <c r="J40" s="514">
        <v>0.2</v>
      </c>
      <c r="K40" s="500"/>
      <c r="L40" s="500"/>
      <c r="M40" s="500"/>
      <c r="N40" s="500"/>
      <c r="O40" s="500"/>
      <c r="P40" s="500"/>
      <c r="Q40" s="500"/>
      <c r="R40" s="500"/>
    </row>
    <row r="41" spans="1:18" ht="15" thickBot="1" x14ac:dyDescent="0.35">
      <c r="A41" s="518" t="s">
        <v>468</v>
      </c>
      <c r="B41" s="656">
        <f>(E41*2080)+(E41*2080*F41)</f>
        <v>37106.783999999992</v>
      </c>
      <c r="C41" s="656">
        <f t="shared" ref="C41:C47" si="24">ROUND(B41*$C$40,2)</f>
        <v>29685.43</v>
      </c>
      <c r="D41" s="656">
        <f t="shared" ref="D41:D47" si="25">ROUND(B41*$D$40,2)</f>
        <v>7421.36</v>
      </c>
      <c r="E41" s="624">
        <v>16.829999999999998</v>
      </c>
      <c r="F41" s="625">
        <f>Expenditures!M3</f>
        <v>0.06</v>
      </c>
      <c r="G41" s="624">
        <f>E41*(1+F41)</f>
        <v>17.8398</v>
      </c>
      <c r="H41" s="656">
        <f>(E41*(1+F41))*2080</f>
        <v>37106.784</v>
      </c>
      <c r="I41" s="656">
        <f>ROUND(H41*$I$40,2)</f>
        <v>29685.43</v>
      </c>
      <c r="J41" s="656">
        <f>ROUND(H41*$J$40,2)</f>
        <v>7421.36</v>
      </c>
      <c r="K41" s="500"/>
      <c r="L41" s="500"/>
      <c r="M41" s="500"/>
      <c r="N41" s="500"/>
      <c r="O41" s="500"/>
      <c r="P41" s="500"/>
      <c r="Q41" s="500"/>
      <c r="R41" s="500"/>
    </row>
    <row r="42" spans="1:18" ht="15" thickBot="1" x14ac:dyDescent="0.35">
      <c r="A42" s="533" t="s">
        <v>56</v>
      </c>
      <c r="B42" s="655">
        <f>(E41*1.5)*(2080*0.08)</f>
        <v>4200.768</v>
      </c>
      <c r="C42" s="655">
        <f t="shared" si="24"/>
        <v>3360.61</v>
      </c>
      <c r="D42" s="655">
        <f t="shared" si="25"/>
        <v>840.15</v>
      </c>
      <c r="E42" s="500"/>
      <c r="F42" s="500"/>
      <c r="G42" s="500"/>
      <c r="H42" s="655">
        <f>(G41*1.5)*(2080*0.1)</f>
        <v>5566.0176000000001</v>
      </c>
      <c r="I42" s="656">
        <f t="shared" ref="I42:I47" si="26">ROUND(H42*$I$40,2)</f>
        <v>4452.8100000000004</v>
      </c>
      <c r="J42" s="656">
        <f t="shared" ref="J42:J47" si="27">ROUND(H42*$J$40,2)</f>
        <v>1113.2</v>
      </c>
      <c r="K42" s="500"/>
      <c r="L42" s="500"/>
      <c r="M42" s="500"/>
      <c r="N42" s="500"/>
      <c r="O42" s="500"/>
      <c r="P42" s="500"/>
      <c r="Q42" s="500"/>
      <c r="R42" s="500"/>
    </row>
    <row r="43" spans="1:18" ht="15" thickBot="1" x14ac:dyDescent="0.35">
      <c r="A43" s="523" t="s">
        <v>42</v>
      </c>
      <c r="B43" s="655">
        <f>((B41+B42)*M11)</f>
        <v>4919.7294431999999</v>
      </c>
      <c r="C43" s="655">
        <f t="shared" si="24"/>
        <v>3935.78</v>
      </c>
      <c r="D43" s="655">
        <f t="shared" si="25"/>
        <v>983.95</v>
      </c>
      <c r="E43" s="500"/>
      <c r="F43" s="500"/>
      <c r="G43" s="500"/>
      <c r="H43" s="655">
        <f>H41*M11</f>
        <v>4419.4179744000003</v>
      </c>
      <c r="I43" s="656">
        <f t="shared" si="26"/>
        <v>3535.53</v>
      </c>
      <c r="J43" s="656">
        <f t="shared" si="27"/>
        <v>883.88</v>
      </c>
      <c r="K43" s="500"/>
      <c r="L43" s="500"/>
      <c r="M43" s="500"/>
      <c r="N43" s="500"/>
      <c r="O43" s="500"/>
      <c r="P43" s="500"/>
      <c r="Q43" s="500"/>
      <c r="R43" s="500"/>
    </row>
    <row r="44" spans="1:18" ht="15" thickBot="1" x14ac:dyDescent="0.35">
      <c r="A44" s="523" t="s">
        <v>472</v>
      </c>
      <c r="B44" s="655">
        <f>(B41+B42)*M12</f>
        <v>3160.0277279999996</v>
      </c>
      <c r="C44" s="655">
        <f t="shared" si="24"/>
        <v>2528.02</v>
      </c>
      <c r="D44" s="655">
        <f t="shared" si="25"/>
        <v>632.01</v>
      </c>
      <c r="E44" s="500"/>
      <c r="F44" s="500"/>
      <c r="G44" s="500"/>
      <c r="H44" s="655">
        <f>H41*M12</f>
        <v>2838.6689759999999</v>
      </c>
      <c r="I44" s="656">
        <f t="shared" si="26"/>
        <v>2270.94</v>
      </c>
      <c r="J44" s="656">
        <f t="shared" si="27"/>
        <v>567.73</v>
      </c>
      <c r="K44" s="500"/>
      <c r="L44" s="500"/>
      <c r="M44" s="500"/>
      <c r="N44" s="500"/>
      <c r="O44" s="500"/>
      <c r="P44" s="500"/>
      <c r="Q44" s="500"/>
      <c r="R44" s="500"/>
    </row>
    <row r="45" spans="1:18" ht="15" thickBot="1" x14ac:dyDescent="0.35">
      <c r="A45" s="523" t="s">
        <v>474</v>
      </c>
      <c r="B45" s="655">
        <f>ROUND((B41)*M14*0.01,2)</f>
        <v>5380.48</v>
      </c>
      <c r="C45" s="655">
        <f t="shared" si="24"/>
        <v>4304.38</v>
      </c>
      <c r="D45" s="655">
        <f t="shared" si="25"/>
        <v>1076.0999999999999</v>
      </c>
      <c r="E45" s="500"/>
      <c r="F45" s="500"/>
      <c r="G45" s="500"/>
      <c r="H45" s="655">
        <f>ROUND((H41)*M14*0.01,2)</f>
        <v>5380.48</v>
      </c>
      <c r="I45" s="656">
        <f t="shared" si="26"/>
        <v>4304.38</v>
      </c>
      <c r="J45" s="656">
        <f t="shared" si="27"/>
        <v>1076.0999999999999</v>
      </c>
      <c r="K45" s="500"/>
      <c r="L45" s="500"/>
      <c r="M45" s="500"/>
      <c r="N45" s="500"/>
      <c r="O45" s="500"/>
      <c r="P45" s="500"/>
      <c r="Q45" s="500"/>
      <c r="R45" s="500"/>
    </row>
    <row r="46" spans="1:18" ht="15" thickBot="1" x14ac:dyDescent="0.35">
      <c r="A46" s="523" t="s">
        <v>47</v>
      </c>
      <c r="B46" s="655">
        <f>P8</f>
        <v>21994.2768</v>
      </c>
      <c r="C46" s="655">
        <f t="shared" si="24"/>
        <v>17595.419999999998</v>
      </c>
      <c r="D46" s="655">
        <f t="shared" si="25"/>
        <v>4398.8599999999997</v>
      </c>
      <c r="E46" s="500"/>
      <c r="F46" s="500"/>
      <c r="G46" s="500"/>
      <c r="H46" s="655">
        <f>B46</f>
        <v>21994.2768</v>
      </c>
      <c r="I46" s="656">
        <f t="shared" si="26"/>
        <v>17595.419999999998</v>
      </c>
      <c r="J46" s="656">
        <f t="shared" si="27"/>
        <v>4398.8599999999997</v>
      </c>
      <c r="K46" s="500"/>
      <c r="L46" s="500"/>
      <c r="M46" s="500"/>
      <c r="N46" s="500"/>
      <c r="O46" s="500"/>
      <c r="P46" s="500"/>
      <c r="Q46" s="500"/>
      <c r="R46" s="500"/>
    </row>
    <row r="47" spans="1:18" ht="15" thickBot="1" x14ac:dyDescent="0.35">
      <c r="A47" s="527" t="s">
        <v>476</v>
      </c>
      <c r="B47" s="657">
        <f>P9</f>
        <v>498.68</v>
      </c>
      <c r="C47" s="657">
        <f t="shared" si="24"/>
        <v>398.94</v>
      </c>
      <c r="D47" s="657">
        <f t="shared" si="25"/>
        <v>99.74</v>
      </c>
      <c r="E47" s="500"/>
      <c r="F47" s="500"/>
      <c r="G47" s="500"/>
      <c r="H47" s="657">
        <f>B47</f>
        <v>498.68</v>
      </c>
      <c r="I47" s="656">
        <f t="shared" si="26"/>
        <v>398.94</v>
      </c>
      <c r="J47" s="656">
        <f t="shared" si="27"/>
        <v>99.74</v>
      </c>
      <c r="K47" s="500"/>
      <c r="L47" s="500"/>
      <c r="M47" s="500"/>
      <c r="N47" s="500"/>
      <c r="O47" s="500"/>
      <c r="P47" s="500"/>
      <c r="Q47" s="500"/>
      <c r="R47" s="500"/>
    </row>
    <row r="48" spans="1:18" ht="15" thickBot="1" x14ac:dyDescent="0.35">
      <c r="A48" s="529" t="s">
        <v>49</v>
      </c>
      <c r="B48" s="658">
        <f>SUM(B41:B47)</f>
        <v>77260.745971199998</v>
      </c>
      <c r="C48" s="658">
        <f t="shared" ref="C48:D48" si="28">SUM(C41:C47)</f>
        <v>61808.579999999994</v>
      </c>
      <c r="D48" s="659">
        <f t="shared" si="28"/>
        <v>15452.17</v>
      </c>
      <c r="E48" s="509"/>
      <c r="F48" s="500"/>
      <c r="G48" s="500"/>
      <c r="H48" s="658">
        <f>SUM(H41:H47)</f>
        <v>77804.325350400002</v>
      </c>
      <c r="I48" s="658">
        <f t="shared" ref="I48" si="29">SUM(I41:I47)</f>
        <v>62243.45</v>
      </c>
      <c r="J48" s="659">
        <f t="shared" ref="J48" si="30">SUM(J41:J47)</f>
        <v>15560.869999999997</v>
      </c>
      <c r="K48" s="500"/>
      <c r="L48" s="500"/>
      <c r="M48" s="500"/>
      <c r="N48" s="500"/>
      <c r="O48" s="500"/>
      <c r="P48" s="500"/>
      <c r="Q48" s="500"/>
      <c r="R48" s="500"/>
    </row>
    <row r="49" spans="1:18" x14ac:dyDescent="0.3">
      <c r="A49" s="643"/>
      <c r="B49" s="644"/>
      <c r="C49" s="644"/>
      <c r="D49" s="644"/>
      <c r="E49" s="509"/>
      <c r="F49" s="500"/>
      <c r="G49" s="500"/>
      <c r="H49" s="644"/>
      <c r="I49" s="522"/>
      <c r="J49" s="500"/>
      <c r="K49" s="500"/>
      <c r="L49" s="500"/>
      <c r="M49" s="500"/>
      <c r="N49" s="500"/>
      <c r="O49" s="500"/>
      <c r="P49" s="500"/>
      <c r="Q49" s="500"/>
      <c r="R49" s="500"/>
    </row>
    <row r="50" spans="1:18" ht="15" thickBot="1" x14ac:dyDescent="0.35">
      <c r="A50" s="531"/>
      <c r="B50" s="500"/>
      <c r="C50" s="500"/>
      <c r="D50" s="500"/>
      <c r="E50" s="500"/>
      <c r="F50" s="500"/>
      <c r="G50" s="500"/>
      <c r="H50" s="500"/>
      <c r="I50" s="500"/>
      <c r="J50" s="500"/>
      <c r="K50" s="500"/>
      <c r="L50" s="500"/>
      <c r="M50" s="500"/>
      <c r="N50" s="500"/>
      <c r="O50" s="500"/>
      <c r="P50" s="500"/>
      <c r="Q50" s="500"/>
      <c r="R50" s="500"/>
    </row>
    <row r="51" spans="1:18" ht="15" customHeight="1" x14ac:dyDescent="0.3">
      <c r="A51" s="748" t="s">
        <v>483</v>
      </c>
      <c r="B51" s="750" t="s">
        <v>80</v>
      </c>
      <c r="C51" s="512" t="s">
        <v>35</v>
      </c>
      <c r="D51" s="513" t="s">
        <v>36</v>
      </c>
      <c r="E51" s="513" t="s">
        <v>457</v>
      </c>
      <c r="F51" s="512" t="s">
        <v>458</v>
      </c>
      <c r="G51" s="513" t="s">
        <v>459</v>
      </c>
      <c r="H51" s="750" t="s">
        <v>80</v>
      </c>
      <c r="I51" s="512" t="s">
        <v>35</v>
      </c>
      <c r="J51" s="513" t="s">
        <v>36</v>
      </c>
      <c r="K51" s="500"/>
      <c r="L51" s="500"/>
      <c r="M51" s="500"/>
      <c r="N51" s="500"/>
      <c r="O51" s="500"/>
      <c r="P51" s="500"/>
      <c r="Q51" s="500"/>
      <c r="R51" s="500"/>
    </row>
    <row r="52" spans="1:18" ht="15" thickBot="1" x14ac:dyDescent="0.35">
      <c r="A52" s="749"/>
      <c r="B52" s="751"/>
      <c r="C52" s="514">
        <v>0.19</v>
      </c>
      <c r="D52" s="515">
        <v>0.81</v>
      </c>
      <c r="E52" s="516" t="s">
        <v>461</v>
      </c>
      <c r="F52" s="517"/>
      <c r="G52" s="516" t="s">
        <v>461</v>
      </c>
      <c r="H52" s="751"/>
      <c r="I52" s="514">
        <v>0.19</v>
      </c>
      <c r="J52" s="514">
        <v>0.81</v>
      </c>
      <c r="K52" s="500"/>
      <c r="L52" s="500"/>
      <c r="M52" s="500"/>
      <c r="N52" s="500"/>
      <c r="O52" s="500"/>
      <c r="P52" s="500"/>
      <c r="Q52" s="500"/>
      <c r="R52" s="500"/>
    </row>
    <row r="53" spans="1:18" ht="15" thickBot="1" x14ac:dyDescent="0.35">
      <c r="A53" s="518" t="s">
        <v>468</v>
      </c>
      <c r="B53" s="656">
        <f>(E53*2080)+(E53*2080*F53)</f>
        <v>40568.32</v>
      </c>
      <c r="C53" s="656">
        <f t="shared" ref="C53:C59" si="31">ROUND(B53*$C$52,2)</f>
        <v>7707.98</v>
      </c>
      <c r="D53" s="656">
        <f t="shared" ref="D53:D59" si="32">ROUND(B53*$D$52,2)</f>
        <v>32860.339999999997</v>
      </c>
      <c r="E53" s="624">
        <v>18.399999999999999</v>
      </c>
      <c r="F53" s="625">
        <f>Expenditures!M3</f>
        <v>0.06</v>
      </c>
      <c r="G53" s="624">
        <f>E53*(1+F53)</f>
        <v>19.503999999999998</v>
      </c>
      <c r="H53" s="656">
        <f>(E53*(1+F53))*2080</f>
        <v>40568.319999999992</v>
      </c>
      <c r="I53" s="656">
        <f>ROUND(H53*$I$52,2)</f>
        <v>7707.98</v>
      </c>
      <c r="J53" s="656">
        <f>ROUND(H53*$J$52,2)</f>
        <v>32860.339999999997</v>
      </c>
      <c r="K53" s="500"/>
      <c r="L53" s="500"/>
      <c r="M53" s="500"/>
      <c r="N53" s="500"/>
      <c r="O53" s="500"/>
      <c r="P53" s="500"/>
      <c r="Q53" s="500"/>
      <c r="R53" s="500"/>
    </row>
    <row r="54" spans="1:18" ht="15" thickBot="1" x14ac:dyDescent="0.35">
      <c r="A54" s="533" t="s">
        <v>56</v>
      </c>
      <c r="B54" s="655">
        <f>(E53*1.5)*(2080*0.08)</f>
        <v>4592.6399999999994</v>
      </c>
      <c r="C54" s="655">
        <f t="shared" si="31"/>
        <v>872.6</v>
      </c>
      <c r="D54" s="655">
        <f t="shared" si="32"/>
        <v>3720.04</v>
      </c>
      <c r="E54" s="500"/>
      <c r="F54" s="500"/>
      <c r="G54" s="500"/>
      <c r="H54" s="655">
        <f>(G53*1.5)*(2080*0.1)</f>
        <v>6085.2479999999996</v>
      </c>
      <c r="I54" s="656">
        <f t="shared" ref="I54:I59" si="33">ROUND(H54*$I$52,2)</f>
        <v>1156.2</v>
      </c>
      <c r="J54" s="656">
        <f t="shared" ref="J54:J59" si="34">ROUND(H54*$J$52,2)</f>
        <v>4929.05</v>
      </c>
      <c r="K54" s="500"/>
      <c r="L54" s="500"/>
      <c r="M54" s="500"/>
      <c r="N54" s="500"/>
      <c r="O54" s="500"/>
      <c r="P54" s="500"/>
      <c r="Q54" s="500"/>
      <c r="R54" s="500"/>
    </row>
    <row r="55" spans="1:18" ht="15" thickBot="1" x14ac:dyDescent="0.35">
      <c r="A55" s="523" t="s">
        <v>42</v>
      </c>
      <c r="B55" s="655">
        <f>((B53+B54)*M11)</f>
        <v>5378.6703360000001</v>
      </c>
      <c r="C55" s="655">
        <f t="shared" si="31"/>
        <v>1021.95</v>
      </c>
      <c r="D55" s="655">
        <f t="shared" si="32"/>
        <v>4356.72</v>
      </c>
      <c r="E55" s="500"/>
      <c r="F55" s="500"/>
      <c r="G55" s="500"/>
      <c r="H55" s="655">
        <f>H53*M11</f>
        <v>4831.6869119999992</v>
      </c>
      <c r="I55" s="656">
        <f t="shared" si="33"/>
        <v>918.02</v>
      </c>
      <c r="J55" s="656">
        <f t="shared" si="34"/>
        <v>3913.67</v>
      </c>
      <c r="K55" s="500"/>
      <c r="L55" s="500"/>
      <c r="M55" s="500"/>
      <c r="N55" s="500"/>
      <c r="O55" s="500"/>
      <c r="P55" s="500"/>
      <c r="Q55" s="500"/>
      <c r="R55" s="500"/>
    </row>
    <row r="56" spans="1:18" ht="15" thickBot="1" x14ac:dyDescent="0.35">
      <c r="A56" s="523" t="s">
        <v>472</v>
      </c>
      <c r="B56" s="655">
        <f>(B53+B54)*M12</f>
        <v>3454.8134399999999</v>
      </c>
      <c r="C56" s="655">
        <f t="shared" si="31"/>
        <v>656.41</v>
      </c>
      <c r="D56" s="655">
        <f t="shared" si="32"/>
        <v>2798.4</v>
      </c>
      <c r="E56" s="500"/>
      <c r="F56" s="500"/>
      <c r="G56" s="500"/>
      <c r="H56" s="655">
        <f>H53*M12</f>
        <v>3103.4764799999994</v>
      </c>
      <c r="I56" s="656">
        <f t="shared" si="33"/>
        <v>589.66</v>
      </c>
      <c r="J56" s="656">
        <f t="shared" si="34"/>
        <v>2513.8200000000002</v>
      </c>
      <c r="K56" s="500"/>
      <c r="L56" s="500"/>
      <c r="M56" s="500"/>
      <c r="N56" s="500"/>
      <c r="O56" s="500"/>
      <c r="P56" s="500"/>
      <c r="Q56" s="500"/>
      <c r="R56" s="500"/>
    </row>
    <row r="57" spans="1:18" ht="15" thickBot="1" x14ac:dyDescent="0.35">
      <c r="A57" s="523" t="s">
        <v>474</v>
      </c>
      <c r="B57" s="655">
        <f>ROUND((B53)*M13*0.01,2)</f>
        <v>912.79</v>
      </c>
      <c r="C57" s="655">
        <f t="shared" si="31"/>
        <v>173.43</v>
      </c>
      <c r="D57" s="655">
        <f t="shared" si="32"/>
        <v>739.36</v>
      </c>
      <c r="E57" s="500"/>
      <c r="F57" s="500"/>
      <c r="G57" s="500"/>
      <c r="H57" s="655">
        <f>ROUND((H53)*M13*0.01,2)</f>
        <v>912.79</v>
      </c>
      <c r="I57" s="656">
        <f t="shared" si="33"/>
        <v>173.43</v>
      </c>
      <c r="J57" s="656">
        <f t="shared" si="34"/>
        <v>739.36</v>
      </c>
      <c r="K57" s="500"/>
      <c r="L57" s="500"/>
      <c r="M57" s="500"/>
      <c r="N57" s="500"/>
      <c r="O57" s="500"/>
      <c r="P57" s="500"/>
      <c r="Q57" s="500"/>
      <c r="R57" s="500"/>
    </row>
    <row r="58" spans="1:18" ht="15" thickBot="1" x14ac:dyDescent="0.35">
      <c r="A58" s="523" t="s">
        <v>47</v>
      </c>
      <c r="B58" s="655">
        <f>R8</f>
        <v>17362.5432</v>
      </c>
      <c r="C58" s="655">
        <f t="shared" si="31"/>
        <v>3298.88</v>
      </c>
      <c r="D58" s="655">
        <f t="shared" si="32"/>
        <v>14063.66</v>
      </c>
      <c r="E58" s="500"/>
      <c r="F58" s="500"/>
      <c r="G58" s="500"/>
      <c r="H58" s="655">
        <f>B58</f>
        <v>17362.5432</v>
      </c>
      <c r="I58" s="656">
        <f t="shared" si="33"/>
        <v>3298.88</v>
      </c>
      <c r="J58" s="656">
        <f t="shared" si="34"/>
        <v>14063.66</v>
      </c>
      <c r="K58" s="500"/>
      <c r="L58" s="500"/>
      <c r="M58" s="500"/>
      <c r="N58" s="500"/>
      <c r="O58" s="500"/>
      <c r="P58" s="500"/>
      <c r="Q58" s="500"/>
      <c r="R58" s="500"/>
    </row>
    <row r="59" spans="1:18" ht="15" thickBot="1" x14ac:dyDescent="0.35">
      <c r="A59" s="527" t="s">
        <v>476</v>
      </c>
      <c r="B59" s="657">
        <f>R9</f>
        <v>498.68</v>
      </c>
      <c r="C59" s="657">
        <f t="shared" si="31"/>
        <v>94.75</v>
      </c>
      <c r="D59" s="657">
        <f t="shared" si="32"/>
        <v>403.93</v>
      </c>
      <c r="E59" s="500"/>
      <c r="F59" s="500"/>
      <c r="G59" s="500"/>
      <c r="H59" s="657">
        <f>B59</f>
        <v>498.68</v>
      </c>
      <c r="I59" s="656">
        <f t="shared" si="33"/>
        <v>94.75</v>
      </c>
      <c r="J59" s="656">
        <f t="shared" si="34"/>
        <v>403.93</v>
      </c>
      <c r="K59" s="500"/>
      <c r="L59" s="500"/>
      <c r="M59" s="500"/>
      <c r="N59" s="500"/>
      <c r="O59" s="500"/>
      <c r="P59" s="500"/>
      <c r="Q59" s="500"/>
      <c r="R59" s="500"/>
    </row>
    <row r="60" spans="1:18" ht="15" thickBot="1" x14ac:dyDescent="0.35">
      <c r="A60" s="529" t="s">
        <v>49</v>
      </c>
      <c r="B60" s="658">
        <f>SUM(B53:B59)</f>
        <v>72768.456975999987</v>
      </c>
      <c r="C60" s="658">
        <f t="shared" ref="C60:D60" si="35">SUM(C53:C59)</f>
        <v>13826</v>
      </c>
      <c r="D60" s="659">
        <f t="shared" si="35"/>
        <v>58942.450000000004</v>
      </c>
      <c r="E60" s="509"/>
      <c r="F60" s="500"/>
      <c r="G60" s="500"/>
      <c r="H60" s="658">
        <f>SUM(H53:H59)</f>
        <v>73362.744591999974</v>
      </c>
      <c r="I60" s="658">
        <f t="shared" ref="I60" si="36">SUM(I53:I59)</f>
        <v>13938.920000000002</v>
      </c>
      <c r="J60" s="659">
        <f t="shared" ref="J60" si="37">SUM(J53:J59)</f>
        <v>59423.829999999994</v>
      </c>
      <c r="K60" s="500"/>
      <c r="L60" s="500"/>
      <c r="M60" s="500"/>
      <c r="N60" s="500"/>
      <c r="O60" s="500"/>
      <c r="P60" s="500"/>
      <c r="Q60" s="500"/>
      <c r="R60" s="500"/>
    </row>
    <row r="61" spans="1:18" x14ac:dyDescent="0.3">
      <c r="A61" s="643"/>
      <c r="B61" s="644"/>
      <c r="C61" s="644"/>
      <c r="D61" s="644"/>
      <c r="E61" s="509"/>
      <c r="F61" s="500"/>
      <c r="G61" s="500"/>
      <c r="H61" s="644"/>
      <c r="I61" s="522"/>
      <c r="J61" s="500"/>
      <c r="K61" s="500"/>
      <c r="L61" s="500"/>
      <c r="M61" s="500"/>
      <c r="N61" s="500"/>
      <c r="O61" s="500"/>
      <c r="P61" s="500"/>
      <c r="Q61" s="500"/>
      <c r="R61" s="500"/>
    </row>
    <row r="62" spans="1:18" ht="15" thickBot="1" x14ac:dyDescent="0.35">
      <c r="A62" s="531"/>
      <c r="B62" s="500"/>
      <c r="C62" s="500"/>
      <c r="D62" s="500"/>
      <c r="E62" s="500"/>
      <c r="F62" s="500"/>
      <c r="G62" s="500"/>
      <c r="H62" s="500"/>
      <c r="I62" s="500"/>
      <c r="J62" s="500"/>
      <c r="K62" s="500"/>
      <c r="L62" s="500"/>
      <c r="M62" s="500"/>
      <c r="N62" s="500"/>
      <c r="O62" s="500"/>
      <c r="P62" s="500"/>
      <c r="Q62" s="500"/>
      <c r="R62" s="500"/>
    </row>
    <row r="63" spans="1:18" x14ac:dyDescent="0.3">
      <c r="A63" s="757" t="s">
        <v>482</v>
      </c>
      <c r="B63" s="750" t="s">
        <v>80</v>
      </c>
      <c r="C63" s="512" t="s">
        <v>35</v>
      </c>
      <c r="D63" s="513" t="s">
        <v>36</v>
      </c>
      <c r="E63" s="513" t="s">
        <v>457</v>
      </c>
      <c r="F63" s="512" t="s">
        <v>458</v>
      </c>
      <c r="G63" s="513" t="s">
        <v>459</v>
      </c>
      <c r="H63" s="750" t="s">
        <v>80</v>
      </c>
      <c r="I63" s="512" t="s">
        <v>35</v>
      </c>
      <c r="J63" s="513" t="s">
        <v>36</v>
      </c>
      <c r="K63" s="500"/>
      <c r="L63" s="500"/>
      <c r="M63" s="500"/>
      <c r="N63" s="500"/>
      <c r="O63" s="500"/>
      <c r="P63" s="500"/>
      <c r="Q63" s="500"/>
      <c r="R63" s="500"/>
    </row>
    <row r="64" spans="1:18" ht="15" thickBot="1" x14ac:dyDescent="0.35">
      <c r="A64" s="758"/>
      <c r="B64" s="751"/>
      <c r="C64" s="514">
        <v>0.6</v>
      </c>
      <c r="D64" s="515">
        <v>0.4</v>
      </c>
      <c r="E64" s="516" t="s">
        <v>461</v>
      </c>
      <c r="F64" s="517"/>
      <c r="G64" s="516" t="s">
        <v>461</v>
      </c>
      <c r="H64" s="751"/>
      <c r="I64" s="514">
        <v>0.6</v>
      </c>
      <c r="J64" s="514">
        <v>0.4</v>
      </c>
      <c r="K64" s="500"/>
      <c r="L64" s="500"/>
      <c r="M64" s="500"/>
      <c r="N64" s="500"/>
      <c r="O64" s="500"/>
      <c r="P64" s="500"/>
      <c r="Q64" s="500"/>
      <c r="R64" s="500"/>
    </row>
    <row r="65" spans="1:18" ht="15" thickBot="1" x14ac:dyDescent="0.35">
      <c r="A65" s="518" t="s">
        <v>468</v>
      </c>
      <c r="B65" s="656">
        <f>(E65*2080)+(E65*2080*F65)</f>
        <v>28912</v>
      </c>
      <c r="C65" s="656">
        <f t="shared" ref="C65:C71" si="38">ROUND(B65*$C$64,2)</f>
        <v>17347.2</v>
      </c>
      <c r="D65" s="656">
        <f t="shared" ref="D65:D71" si="39">ROUND(B65*$D$64,2)</f>
        <v>11564.8</v>
      </c>
      <c r="E65" s="624">
        <v>13.9</v>
      </c>
      <c r="F65" s="625">
        <v>0</v>
      </c>
      <c r="G65" s="624">
        <v>15.5</v>
      </c>
      <c r="H65" s="656">
        <f>(G65)*2080</f>
        <v>32240</v>
      </c>
      <c r="I65" s="656">
        <f>ROUND(H65*$I$64,2)</f>
        <v>19344</v>
      </c>
      <c r="J65" s="656">
        <f>ROUND(H65*$J$64,2)</f>
        <v>12896</v>
      </c>
      <c r="K65" s="500"/>
      <c r="L65" s="500"/>
      <c r="M65" s="500"/>
      <c r="N65" s="500"/>
      <c r="O65" s="500"/>
      <c r="P65" s="500"/>
      <c r="Q65" s="500"/>
      <c r="R65" s="500"/>
    </row>
    <row r="66" spans="1:18" ht="15" thickBot="1" x14ac:dyDescent="0.35">
      <c r="A66" s="533" t="s">
        <v>56</v>
      </c>
      <c r="B66" s="655">
        <f>(E65*1.5)*(2080*0.08)</f>
        <v>3469.4400000000005</v>
      </c>
      <c r="C66" s="655">
        <f t="shared" si="38"/>
        <v>2081.66</v>
      </c>
      <c r="D66" s="655">
        <f t="shared" si="39"/>
        <v>1387.78</v>
      </c>
      <c r="E66" s="500"/>
      <c r="F66" s="500"/>
      <c r="G66" s="500"/>
      <c r="H66" s="655">
        <f>(G65*1.5)*(2080*0.1)</f>
        <v>4836</v>
      </c>
      <c r="I66" s="656">
        <f t="shared" ref="I66:I71" si="40">ROUND(H66*$I$64,2)</f>
        <v>2901.6</v>
      </c>
      <c r="J66" s="656">
        <f t="shared" ref="J66:J71" si="41">ROUND(H66*$J$64,2)</f>
        <v>1934.4</v>
      </c>
      <c r="K66" s="500"/>
      <c r="L66" s="500"/>
      <c r="M66" s="500"/>
      <c r="N66" s="500"/>
      <c r="O66" s="500"/>
      <c r="P66" s="500"/>
      <c r="Q66" s="500"/>
      <c r="R66" s="500"/>
    </row>
    <row r="67" spans="1:18" ht="15" thickBot="1" x14ac:dyDescent="0.35">
      <c r="A67" s="523" t="s">
        <v>42</v>
      </c>
      <c r="B67" s="655">
        <f>((B65+B66)*M11)</f>
        <v>3856.629504</v>
      </c>
      <c r="C67" s="655">
        <f t="shared" si="38"/>
        <v>2313.98</v>
      </c>
      <c r="D67" s="655">
        <f t="shared" si="39"/>
        <v>1542.65</v>
      </c>
      <c r="E67" s="500"/>
      <c r="F67" s="500"/>
      <c r="G67" s="500"/>
      <c r="H67" s="655">
        <f>H65*M11</f>
        <v>3839.7840000000001</v>
      </c>
      <c r="I67" s="656">
        <f t="shared" si="40"/>
        <v>2303.87</v>
      </c>
      <c r="J67" s="656">
        <f t="shared" si="41"/>
        <v>1535.91</v>
      </c>
      <c r="K67" s="500"/>
      <c r="L67" s="500"/>
      <c r="M67" s="500"/>
      <c r="N67" s="500"/>
      <c r="O67" s="500"/>
      <c r="P67" s="500"/>
      <c r="Q67" s="500"/>
      <c r="R67" s="500"/>
    </row>
    <row r="68" spans="1:18" ht="15" thickBot="1" x14ac:dyDescent="0.35">
      <c r="A68" s="523" t="s">
        <v>472</v>
      </c>
      <c r="B68" s="655">
        <f>(B65+B66)*M12</f>
        <v>2477.1801600000003</v>
      </c>
      <c r="C68" s="655">
        <f t="shared" si="38"/>
        <v>1486.31</v>
      </c>
      <c r="D68" s="655">
        <f t="shared" si="39"/>
        <v>990.87</v>
      </c>
      <c r="E68" s="500"/>
      <c r="F68" s="500"/>
      <c r="G68" s="500"/>
      <c r="H68" s="655">
        <f>H65*M12</f>
        <v>2466.36</v>
      </c>
      <c r="I68" s="656">
        <f t="shared" si="40"/>
        <v>1479.82</v>
      </c>
      <c r="J68" s="656">
        <f t="shared" si="41"/>
        <v>986.54</v>
      </c>
      <c r="K68" s="500"/>
      <c r="L68" s="500"/>
      <c r="M68" s="500"/>
      <c r="N68" s="500"/>
      <c r="O68" s="500"/>
      <c r="P68" s="500"/>
      <c r="Q68" s="500"/>
      <c r="R68" s="500"/>
    </row>
    <row r="69" spans="1:18" ht="15" thickBot="1" x14ac:dyDescent="0.35">
      <c r="A69" s="523" t="s">
        <v>474</v>
      </c>
      <c r="B69" s="655">
        <f>ROUND((B65)*M14*0.01,2)</f>
        <v>4192.24</v>
      </c>
      <c r="C69" s="655">
        <f t="shared" si="38"/>
        <v>2515.34</v>
      </c>
      <c r="D69" s="655">
        <f t="shared" si="39"/>
        <v>1676.9</v>
      </c>
      <c r="E69" s="500"/>
      <c r="F69" s="500"/>
      <c r="G69" s="500"/>
      <c r="H69" s="655">
        <f>ROUND((H65)*M14*0.01,2)</f>
        <v>4674.8</v>
      </c>
      <c r="I69" s="656">
        <f t="shared" si="40"/>
        <v>2804.88</v>
      </c>
      <c r="J69" s="656">
        <f t="shared" si="41"/>
        <v>1869.92</v>
      </c>
      <c r="K69" s="500"/>
      <c r="L69" s="500"/>
      <c r="M69" s="500"/>
      <c r="N69" s="500"/>
      <c r="O69" s="500"/>
      <c r="P69" s="500"/>
      <c r="Q69" s="500"/>
      <c r="R69" s="500"/>
    </row>
    <row r="70" spans="1:18" ht="15" thickBot="1" x14ac:dyDescent="0.35">
      <c r="A70" s="523" t="s">
        <v>47</v>
      </c>
      <c r="B70" s="655">
        <f>Q8</f>
        <v>5005.6992</v>
      </c>
      <c r="C70" s="655">
        <f t="shared" si="38"/>
        <v>3003.42</v>
      </c>
      <c r="D70" s="655">
        <f t="shared" si="39"/>
        <v>2002.28</v>
      </c>
      <c r="E70" s="500"/>
      <c r="F70" s="500"/>
      <c r="G70" s="500"/>
      <c r="H70" s="655">
        <f>B70</f>
        <v>5005.6992</v>
      </c>
      <c r="I70" s="656">
        <f t="shared" si="40"/>
        <v>3003.42</v>
      </c>
      <c r="J70" s="656">
        <f t="shared" si="41"/>
        <v>2002.28</v>
      </c>
      <c r="K70" s="500"/>
      <c r="L70" s="500"/>
      <c r="M70" s="500"/>
      <c r="N70" s="500"/>
      <c r="O70" s="500"/>
      <c r="P70" s="500"/>
      <c r="Q70" s="500"/>
      <c r="R70" s="500"/>
    </row>
    <row r="71" spans="1:18" ht="15" thickBot="1" x14ac:dyDescent="0.35">
      <c r="A71" s="527" t="s">
        <v>476</v>
      </c>
      <c r="B71" s="657">
        <f>Q9</f>
        <v>248.56</v>
      </c>
      <c r="C71" s="657">
        <f t="shared" si="38"/>
        <v>149.13999999999999</v>
      </c>
      <c r="D71" s="657">
        <f t="shared" si="39"/>
        <v>99.42</v>
      </c>
      <c r="E71" s="500"/>
      <c r="F71" s="500"/>
      <c r="G71" s="500"/>
      <c r="H71" s="657">
        <f>B71</f>
        <v>248.56</v>
      </c>
      <c r="I71" s="656">
        <f t="shared" si="40"/>
        <v>149.13999999999999</v>
      </c>
      <c r="J71" s="656">
        <f t="shared" si="41"/>
        <v>99.42</v>
      </c>
      <c r="K71" s="500"/>
      <c r="L71" s="500"/>
      <c r="M71" s="500"/>
      <c r="N71" s="500"/>
      <c r="O71" s="500"/>
      <c r="P71" s="500"/>
      <c r="Q71" s="500"/>
      <c r="R71" s="500"/>
    </row>
    <row r="72" spans="1:18" ht="15" thickBot="1" x14ac:dyDescent="0.35">
      <c r="A72" s="529" t="s">
        <v>49</v>
      </c>
      <c r="B72" s="658">
        <f>SUM(B65:B71)</f>
        <v>48161.748864000001</v>
      </c>
      <c r="C72" s="658">
        <f t="shared" ref="C72:D72" si="42">SUM(C65:C71)</f>
        <v>28897.050000000003</v>
      </c>
      <c r="D72" s="659">
        <f t="shared" si="42"/>
        <v>19264.699999999997</v>
      </c>
      <c r="E72" s="509"/>
      <c r="F72" s="500"/>
      <c r="G72" s="500"/>
      <c r="H72" s="658">
        <f>SUM(H65:H71)</f>
        <v>53311.203200000004</v>
      </c>
      <c r="I72" s="658">
        <f t="shared" ref="I72:J72" si="43">SUM(I65:I71)</f>
        <v>31986.729999999996</v>
      </c>
      <c r="J72" s="659">
        <f t="shared" si="43"/>
        <v>21324.469999999994</v>
      </c>
      <c r="K72" s="500"/>
      <c r="L72" s="500"/>
      <c r="M72" s="500"/>
      <c r="N72" s="500"/>
      <c r="O72" s="500"/>
      <c r="P72" s="500"/>
      <c r="Q72" s="500"/>
      <c r="R72" s="500"/>
    </row>
    <row r="73" spans="1:18" x14ac:dyDescent="0.3">
      <c r="A73" s="643"/>
      <c r="B73" s="644"/>
      <c r="C73" s="644"/>
      <c r="D73" s="644"/>
      <c r="E73" s="509"/>
      <c r="F73" s="500"/>
      <c r="G73" s="500"/>
      <c r="H73" s="644"/>
      <c r="I73" s="522"/>
      <c r="J73" s="500"/>
      <c r="K73" s="500"/>
      <c r="L73" s="500"/>
      <c r="M73" s="500"/>
      <c r="N73" s="500"/>
      <c r="O73" s="500"/>
      <c r="P73" s="500"/>
      <c r="Q73" s="500"/>
      <c r="R73" s="500"/>
    </row>
    <row r="74" spans="1:18" ht="15" thickBot="1" x14ac:dyDescent="0.35">
      <c r="A74" s="531"/>
      <c r="B74" s="500"/>
      <c r="C74" s="500"/>
      <c r="D74" s="500"/>
      <c r="E74" s="500"/>
      <c r="F74" s="500"/>
      <c r="G74" s="500"/>
      <c r="H74" s="500"/>
      <c r="I74" s="500"/>
      <c r="J74" s="500"/>
      <c r="K74" s="500"/>
      <c r="L74" s="500"/>
      <c r="M74" s="500"/>
      <c r="N74" s="500"/>
      <c r="O74" s="500"/>
      <c r="P74" s="500"/>
      <c r="Q74" s="500"/>
      <c r="R74" s="500"/>
    </row>
    <row r="75" spans="1:18" ht="15" customHeight="1" x14ac:dyDescent="0.3">
      <c r="A75" s="748" t="s">
        <v>76</v>
      </c>
      <c r="B75" s="750" t="s">
        <v>80</v>
      </c>
      <c r="C75" s="512" t="s">
        <v>35</v>
      </c>
      <c r="D75" s="513" t="s">
        <v>36</v>
      </c>
      <c r="E75" s="513" t="s">
        <v>457</v>
      </c>
      <c r="F75" s="512" t="s">
        <v>458</v>
      </c>
      <c r="G75" s="513" t="s">
        <v>459</v>
      </c>
      <c r="H75" s="750" t="s">
        <v>80</v>
      </c>
      <c r="I75" s="512" t="s">
        <v>35</v>
      </c>
      <c r="J75" s="513" t="s">
        <v>36</v>
      </c>
      <c r="K75" s="500"/>
      <c r="L75" s="500"/>
      <c r="M75" s="500"/>
      <c r="N75" s="500"/>
      <c r="O75" s="500"/>
      <c r="P75" s="500"/>
      <c r="Q75" s="500"/>
      <c r="R75" s="500"/>
    </row>
    <row r="76" spans="1:18" ht="15" thickBot="1" x14ac:dyDescent="0.35">
      <c r="A76" s="749"/>
      <c r="B76" s="751"/>
      <c r="C76" s="514">
        <v>0</v>
      </c>
      <c r="D76" s="515">
        <v>1</v>
      </c>
      <c r="E76" s="516"/>
      <c r="F76" s="517"/>
      <c r="G76" s="516" t="s">
        <v>461</v>
      </c>
      <c r="H76" s="751"/>
      <c r="I76" s="514">
        <v>0</v>
      </c>
      <c r="J76" s="514">
        <v>1</v>
      </c>
      <c r="K76" s="500"/>
      <c r="L76" s="500"/>
      <c r="M76" s="500"/>
      <c r="N76" s="500"/>
      <c r="O76" s="500"/>
      <c r="P76" s="500"/>
      <c r="Q76" s="500"/>
      <c r="R76" s="500"/>
    </row>
    <row r="77" spans="1:18" ht="15" thickBot="1" x14ac:dyDescent="0.35">
      <c r="A77" s="518" t="s">
        <v>468</v>
      </c>
      <c r="B77" s="656">
        <v>6300</v>
      </c>
      <c r="C77" s="656">
        <f t="shared" ref="C77:C83" si="44">ROUND(B77*$C$76,2)</f>
        <v>0</v>
      </c>
      <c r="D77" s="656">
        <f t="shared" ref="D77:D83" si="45">ROUND(B77*$D$76,2)</f>
        <v>6300</v>
      </c>
      <c r="E77" s="534">
        <v>6300</v>
      </c>
      <c r="F77" s="625">
        <f>Expenditures!M3</f>
        <v>0.06</v>
      </c>
      <c r="G77" s="521">
        <f>E77*(1+F77)</f>
        <v>6678</v>
      </c>
      <c r="H77" s="656">
        <f>G77</f>
        <v>6678</v>
      </c>
      <c r="I77" s="656">
        <f>ROUND(H77*$I$76,2)</f>
        <v>0</v>
      </c>
      <c r="J77" s="656">
        <f>ROUND(H77*$J$76,2)</f>
        <v>6678</v>
      </c>
      <c r="K77" s="500"/>
      <c r="L77" s="500"/>
      <c r="M77" s="500"/>
      <c r="N77" s="500"/>
      <c r="O77" s="500"/>
      <c r="P77" s="500"/>
      <c r="Q77" s="500"/>
      <c r="R77" s="500"/>
    </row>
    <row r="78" spans="1:18" ht="15" thickBot="1" x14ac:dyDescent="0.35">
      <c r="A78" s="533" t="s">
        <v>56</v>
      </c>
      <c r="B78" s="655">
        <v>0</v>
      </c>
      <c r="C78" s="655">
        <f t="shared" si="44"/>
        <v>0</v>
      </c>
      <c r="D78" s="655">
        <f t="shared" si="45"/>
        <v>0</v>
      </c>
      <c r="E78" s="500"/>
      <c r="F78" s="500"/>
      <c r="G78" s="500"/>
      <c r="H78" s="655">
        <v>0</v>
      </c>
      <c r="I78" s="655">
        <f>ROUND(H78*$I$76,2)</f>
        <v>0</v>
      </c>
      <c r="J78" s="656">
        <f t="shared" ref="J78:J83" si="46">ROUND(H78*$J$76,2)</f>
        <v>0</v>
      </c>
      <c r="K78" s="500"/>
      <c r="L78" s="500"/>
      <c r="M78" s="500"/>
      <c r="N78" s="500"/>
      <c r="O78" s="500"/>
      <c r="P78" s="500"/>
      <c r="Q78" s="500"/>
      <c r="R78" s="500"/>
    </row>
    <row r="79" spans="1:18" ht="15" thickBot="1" x14ac:dyDescent="0.35">
      <c r="A79" s="523" t="s">
        <v>42</v>
      </c>
      <c r="B79" s="655">
        <v>0</v>
      </c>
      <c r="C79" s="655">
        <f t="shared" si="44"/>
        <v>0</v>
      </c>
      <c r="D79" s="655">
        <f t="shared" si="45"/>
        <v>0</v>
      </c>
      <c r="E79" s="500"/>
      <c r="F79" s="500"/>
      <c r="G79" s="500"/>
      <c r="H79" s="655">
        <v>0</v>
      </c>
      <c r="I79" s="655">
        <f t="shared" ref="I79:I83" si="47">ROUND(H79*$I$76,2)</f>
        <v>0</v>
      </c>
      <c r="J79" s="656">
        <f t="shared" si="46"/>
        <v>0</v>
      </c>
      <c r="K79" s="500"/>
      <c r="L79" s="500"/>
      <c r="M79" s="500"/>
      <c r="N79" s="500"/>
      <c r="O79" s="500"/>
      <c r="P79" s="500"/>
      <c r="Q79" s="500"/>
      <c r="R79" s="500"/>
    </row>
    <row r="80" spans="1:18" ht="15" thickBot="1" x14ac:dyDescent="0.35">
      <c r="A80" s="523" t="s">
        <v>472</v>
      </c>
      <c r="B80" s="655">
        <f>B77*M12</f>
        <v>481.95</v>
      </c>
      <c r="C80" s="655">
        <f t="shared" si="44"/>
        <v>0</v>
      </c>
      <c r="D80" s="655">
        <f t="shared" si="45"/>
        <v>481.95</v>
      </c>
      <c r="E80" s="500"/>
      <c r="F80" s="500"/>
      <c r="G80" s="500"/>
      <c r="H80" s="655">
        <f>H77*M12</f>
        <v>510.86700000000002</v>
      </c>
      <c r="I80" s="655">
        <f t="shared" si="47"/>
        <v>0</v>
      </c>
      <c r="J80" s="656">
        <f t="shared" si="46"/>
        <v>510.87</v>
      </c>
      <c r="K80" s="500"/>
      <c r="L80" s="500"/>
      <c r="M80" s="500"/>
      <c r="N80" s="500"/>
      <c r="O80" s="500"/>
      <c r="P80" s="500"/>
      <c r="Q80" s="500"/>
      <c r="R80" s="500"/>
    </row>
    <row r="81" spans="1:18" ht="15" thickBot="1" x14ac:dyDescent="0.35">
      <c r="A81" s="523" t="s">
        <v>474</v>
      </c>
      <c r="B81" s="655">
        <f>ROUND((B77)*M14*0.01,2)</f>
        <v>913.5</v>
      </c>
      <c r="C81" s="655">
        <f t="shared" si="44"/>
        <v>0</v>
      </c>
      <c r="D81" s="655">
        <f t="shared" si="45"/>
        <v>913.5</v>
      </c>
      <c r="E81" s="500"/>
      <c r="F81" s="500"/>
      <c r="G81" s="500"/>
      <c r="H81" s="655">
        <f>ROUND((H77)*M14*0.01,2)</f>
        <v>968.31</v>
      </c>
      <c r="I81" s="655">
        <f t="shared" si="47"/>
        <v>0</v>
      </c>
      <c r="J81" s="656">
        <f t="shared" si="46"/>
        <v>968.31</v>
      </c>
      <c r="K81" s="500"/>
      <c r="L81" s="500"/>
      <c r="M81" s="500"/>
      <c r="N81" s="500"/>
      <c r="O81" s="500"/>
      <c r="P81" s="500"/>
      <c r="Q81" s="500"/>
      <c r="R81" s="500"/>
    </row>
    <row r="82" spans="1:18" ht="15" thickBot="1" x14ac:dyDescent="0.35">
      <c r="A82" s="523" t="s">
        <v>47</v>
      </c>
      <c r="B82" s="655">
        <v>0</v>
      </c>
      <c r="C82" s="655">
        <f t="shared" si="44"/>
        <v>0</v>
      </c>
      <c r="D82" s="655">
        <f t="shared" si="45"/>
        <v>0</v>
      </c>
      <c r="E82" s="500"/>
      <c r="F82" s="500"/>
      <c r="G82" s="500"/>
      <c r="H82" s="655">
        <v>0</v>
      </c>
      <c r="I82" s="655">
        <f t="shared" si="47"/>
        <v>0</v>
      </c>
      <c r="J82" s="656">
        <f t="shared" si="46"/>
        <v>0</v>
      </c>
      <c r="K82" s="500"/>
      <c r="L82" s="500"/>
      <c r="M82" s="500"/>
      <c r="N82" s="500"/>
      <c r="O82" s="500"/>
      <c r="P82" s="500"/>
      <c r="Q82" s="500"/>
      <c r="R82" s="500"/>
    </row>
    <row r="83" spans="1:18" ht="15" thickBot="1" x14ac:dyDescent="0.35">
      <c r="A83" s="527" t="s">
        <v>476</v>
      </c>
      <c r="B83" s="657">
        <v>0</v>
      </c>
      <c r="C83" s="657">
        <f t="shared" si="44"/>
        <v>0</v>
      </c>
      <c r="D83" s="657">
        <f t="shared" si="45"/>
        <v>0</v>
      </c>
      <c r="E83" s="500"/>
      <c r="F83" s="500"/>
      <c r="G83" s="500"/>
      <c r="H83" s="657">
        <v>0</v>
      </c>
      <c r="I83" s="655">
        <f t="shared" si="47"/>
        <v>0</v>
      </c>
      <c r="J83" s="656">
        <f t="shared" si="46"/>
        <v>0</v>
      </c>
      <c r="K83" s="500"/>
      <c r="L83" s="500"/>
      <c r="M83" s="500"/>
      <c r="N83" s="500"/>
      <c r="O83" s="500"/>
      <c r="P83" s="500"/>
      <c r="Q83" s="500"/>
      <c r="R83" s="500"/>
    </row>
    <row r="84" spans="1:18" ht="15" thickBot="1" x14ac:dyDescent="0.35">
      <c r="A84" s="529" t="s">
        <v>49</v>
      </c>
      <c r="B84" s="658">
        <f>SUM(B77:B83)</f>
        <v>7695.45</v>
      </c>
      <c r="C84" s="658">
        <f t="shared" ref="C84:D84" si="48">SUM(C77:C83)</f>
        <v>0</v>
      </c>
      <c r="D84" s="659">
        <f t="shared" si="48"/>
        <v>7695.45</v>
      </c>
      <c r="E84" s="509"/>
      <c r="F84" s="500"/>
      <c r="G84" s="500"/>
      <c r="H84" s="658">
        <f>SUM(H77:H83)</f>
        <v>8157.1769999999997</v>
      </c>
      <c r="I84" s="658">
        <f t="shared" ref="I84:J84" si="49">SUM(I77:I83)</f>
        <v>0</v>
      </c>
      <c r="J84" s="659">
        <f t="shared" si="49"/>
        <v>8157.18</v>
      </c>
      <c r="K84" s="500"/>
      <c r="L84" s="500"/>
      <c r="M84" s="500"/>
      <c r="N84" s="500"/>
      <c r="O84" s="500"/>
      <c r="P84" s="500"/>
      <c r="Q84" s="500"/>
      <c r="R84" s="500"/>
    </row>
    <row r="85" spans="1:18" x14ac:dyDescent="0.3">
      <c r="A85" s="531"/>
      <c r="B85" s="500"/>
      <c r="C85" s="500"/>
      <c r="D85" s="500"/>
      <c r="E85" s="500"/>
      <c r="F85" s="500"/>
      <c r="G85" s="500"/>
      <c r="H85" s="500"/>
      <c r="I85" s="500"/>
      <c r="J85" s="500"/>
      <c r="K85" s="500"/>
      <c r="L85" s="500"/>
      <c r="M85" s="500"/>
      <c r="N85" s="500"/>
      <c r="O85" s="500"/>
      <c r="P85" s="500"/>
      <c r="Q85" s="500"/>
      <c r="R85" s="500"/>
    </row>
    <row r="86" spans="1:18" ht="15" thickBot="1" x14ac:dyDescent="0.35">
      <c r="A86" s="500"/>
      <c r="B86" s="500"/>
      <c r="C86" s="500"/>
      <c r="D86" s="500"/>
      <c r="E86" s="500"/>
      <c r="F86" s="500"/>
      <c r="G86" s="500"/>
      <c r="H86" s="500"/>
      <c r="I86" s="500"/>
      <c r="J86" s="500"/>
      <c r="K86" s="500"/>
      <c r="L86" s="500"/>
      <c r="M86" s="500"/>
      <c r="N86" s="500"/>
      <c r="O86" s="500"/>
      <c r="P86" s="500"/>
      <c r="Q86" s="500"/>
      <c r="R86" s="500"/>
    </row>
    <row r="87" spans="1:18" x14ac:dyDescent="0.3">
      <c r="A87" s="748" t="s">
        <v>80</v>
      </c>
      <c r="B87" s="750" t="s">
        <v>34</v>
      </c>
      <c r="C87" s="750" t="s">
        <v>35</v>
      </c>
      <c r="D87" s="750" t="s">
        <v>36</v>
      </c>
      <c r="E87" s="501"/>
      <c r="F87" s="500"/>
      <c r="G87" s="500"/>
      <c r="H87" s="750" t="s">
        <v>34</v>
      </c>
      <c r="I87" s="750" t="s">
        <v>35</v>
      </c>
      <c r="J87" s="750" t="s">
        <v>36</v>
      </c>
      <c r="K87" s="500"/>
      <c r="L87" s="500"/>
      <c r="M87" s="500"/>
      <c r="N87" s="500"/>
      <c r="O87" s="500"/>
      <c r="P87" s="500"/>
      <c r="Q87" s="500"/>
      <c r="R87" s="500"/>
    </row>
    <row r="88" spans="1:18" ht="15" thickBot="1" x14ac:dyDescent="0.35">
      <c r="A88" s="755"/>
      <c r="B88" s="756"/>
      <c r="C88" s="756"/>
      <c r="D88" s="756"/>
      <c r="E88" s="501"/>
      <c r="F88" s="500"/>
      <c r="G88" s="500"/>
      <c r="H88" s="756"/>
      <c r="I88" s="756"/>
      <c r="J88" s="756"/>
      <c r="K88" s="500"/>
      <c r="L88" s="500"/>
      <c r="M88" s="500"/>
      <c r="N88" s="500"/>
      <c r="O88" s="500"/>
      <c r="P88" s="500"/>
      <c r="Q88" s="500"/>
      <c r="R88" s="500"/>
    </row>
    <row r="89" spans="1:18" x14ac:dyDescent="0.3">
      <c r="A89" s="502" t="s">
        <v>484</v>
      </c>
      <c r="B89" s="526">
        <f>+B5+B17+B29+B41+B53+B65+B77</f>
        <v>261208.70399999997</v>
      </c>
      <c r="C89" s="526">
        <f>+C5+C17+C29+C41+C53+C65+C77</f>
        <v>161380.80000000002</v>
      </c>
      <c r="D89" s="520">
        <f>+D5+D17+D29+D41+D53+D65+D77</f>
        <v>99827.91</v>
      </c>
      <c r="E89" s="500"/>
      <c r="F89" s="500"/>
      <c r="G89" s="500"/>
      <c r="H89" s="519">
        <f>+H5+H17+H29+H41+H53+H65+H77</f>
        <v>271697.39199999999</v>
      </c>
      <c r="I89" s="526">
        <f>+I5+I17+I29+I41+I53+I65+I77</f>
        <v>168061.56</v>
      </c>
      <c r="J89" s="520">
        <f>+J5+J17+J29+J41+J53+J65+J77</f>
        <v>103635.83</v>
      </c>
      <c r="K89" s="500"/>
      <c r="L89" s="500"/>
      <c r="M89" s="500"/>
      <c r="N89" s="500"/>
      <c r="O89" s="500"/>
      <c r="P89" s="500"/>
      <c r="Q89" s="500"/>
      <c r="R89" s="500"/>
    </row>
    <row r="90" spans="1:18" ht="15" thickBot="1" x14ac:dyDescent="0.35">
      <c r="A90" s="524" t="s">
        <v>83</v>
      </c>
      <c r="B90" s="660">
        <f>SUM(B18,B30,B42,B54,B66)</f>
        <v>24215.567999999999</v>
      </c>
      <c r="C90" s="660">
        <f>SUM(C18,C30,C42,C54,C66)</f>
        <v>13821.53</v>
      </c>
      <c r="D90" s="661">
        <f>SUM(D18,D30,D42,D54,D66)</f>
        <v>10394.030000000001</v>
      </c>
      <c r="E90" s="500"/>
      <c r="F90" s="500"/>
      <c r="G90" s="500"/>
      <c r="H90" s="528">
        <f>SUM(H18,H30,H42,H54,H66)</f>
        <v>31802.908799999997</v>
      </c>
      <c r="I90" s="663">
        <f>SUM(I18,I30,I42,I54,I66)</f>
        <v>18610.73</v>
      </c>
      <c r="J90" s="664">
        <f>SUM(J18,J30,J42,J54,J66)</f>
        <v>13192.17</v>
      </c>
      <c r="K90" s="500"/>
      <c r="L90" s="500"/>
      <c r="M90" s="500"/>
      <c r="N90" s="500"/>
      <c r="O90" s="500"/>
      <c r="P90" s="500"/>
      <c r="Q90" s="500"/>
      <c r="R90" s="500"/>
    </row>
    <row r="91" spans="1:18" ht="15" thickBot="1" x14ac:dyDescent="0.35">
      <c r="A91" s="505" t="s">
        <v>485</v>
      </c>
      <c r="B91" s="667">
        <f>SUM(B89:B90)</f>
        <v>285424.272</v>
      </c>
      <c r="C91" s="667">
        <f t="shared" ref="C91:D91" si="50">SUM(C89:C90)</f>
        <v>175202.33000000002</v>
      </c>
      <c r="D91" s="668">
        <f t="shared" si="50"/>
        <v>110221.94</v>
      </c>
      <c r="E91" s="500"/>
      <c r="F91" s="500">
        <v>0.64</v>
      </c>
      <c r="G91" s="500"/>
      <c r="H91" s="530">
        <f>SUM(H89:H90)</f>
        <v>303500.30079999997</v>
      </c>
      <c r="I91" s="665">
        <f t="shared" ref="I91:J91" si="51">SUM(I89:I90)</f>
        <v>186672.29</v>
      </c>
      <c r="J91" s="666">
        <f t="shared" si="51"/>
        <v>116828</v>
      </c>
      <c r="K91" s="500"/>
      <c r="L91" s="500"/>
      <c r="M91" s="500"/>
      <c r="N91" s="500"/>
      <c r="O91" s="500"/>
      <c r="P91" s="500"/>
      <c r="Q91" s="500"/>
      <c r="R91" s="500"/>
    </row>
    <row r="92" spans="1:18" x14ac:dyDescent="0.3">
      <c r="A92" s="524" t="s">
        <v>477</v>
      </c>
      <c r="B92" s="660">
        <f t="shared" ref="B92:D97" si="52">+B7+B19+B31+B43+B55+B67+B79</f>
        <v>33243.700795199999</v>
      </c>
      <c r="C92" s="660">
        <f t="shared" si="52"/>
        <v>20866.599999999999</v>
      </c>
      <c r="D92" s="661">
        <f t="shared" si="52"/>
        <v>12377.1</v>
      </c>
      <c r="E92" s="500"/>
      <c r="F92" s="500">
        <v>0.36</v>
      </c>
      <c r="G92" s="500"/>
      <c r="H92" s="669">
        <f t="shared" ref="H92:J97" si="53">+H7+H19+H31+H43+H55+H67+H79</f>
        <v>31563.809587199998</v>
      </c>
      <c r="I92" s="670">
        <f t="shared" si="53"/>
        <v>20016.13</v>
      </c>
      <c r="J92" s="671">
        <f t="shared" si="53"/>
        <v>11547.67</v>
      </c>
      <c r="K92" s="500"/>
      <c r="L92" s="500"/>
      <c r="M92" s="500"/>
      <c r="N92" s="500"/>
      <c r="O92" s="500"/>
      <c r="P92" s="500"/>
      <c r="Q92" s="500"/>
      <c r="R92" s="500"/>
    </row>
    <row r="93" spans="1:18" x14ac:dyDescent="0.3">
      <c r="A93" s="524" t="s">
        <v>472</v>
      </c>
      <c r="B93" s="660">
        <f t="shared" si="52"/>
        <v>21834.956807999999</v>
      </c>
      <c r="C93" s="660">
        <f t="shared" si="52"/>
        <v>13402.97</v>
      </c>
      <c r="D93" s="661">
        <f t="shared" si="52"/>
        <v>8431.98</v>
      </c>
      <c r="E93" s="500"/>
      <c r="F93" s="500"/>
      <c r="G93" s="500"/>
      <c r="H93" s="525">
        <f t="shared" si="53"/>
        <v>20784.850487999996</v>
      </c>
      <c r="I93" s="660">
        <f t="shared" si="53"/>
        <v>12856.73</v>
      </c>
      <c r="J93" s="661">
        <f t="shared" si="53"/>
        <v>7928.15</v>
      </c>
      <c r="K93" s="500"/>
      <c r="L93" s="500"/>
      <c r="M93" s="500"/>
      <c r="N93" s="500"/>
      <c r="O93" s="500"/>
      <c r="P93" s="500"/>
      <c r="Q93" s="500"/>
      <c r="R93" s="500"/>
    </row>
    <row r="94" spans="1:18" x14ac:dyDescent="0.3">
      <c r="A94" s="524" t="s">
        <v>474</v>
      </c>
      <c r="B94" s="660">
        <f t="shared" si="52"/>
        <v>22459.239999999998</v>
      </c>
      <c r="C94" s="660">
        <f t="shared" si="52"/>
        <v>13871.89</v>
      </c>
      <c r="D94" s="661">
        <f t="shared" si="52"/>
        <v>8587.35</v>
      </c>
      <c r="E94" s="500"/>
      <c r="F94" s="500"/>
      <c r="G94" s="500"/>
      <c r="H94" s="525">
        <f t="shared" si="53"/>
        <v>23612.6</v>
      </c>
      <c r="I94" s="660">
        <f t="shared" si="53"/>
        <v>14535.580000000002</v>
      </c>
      <c r="J94" s="661">
        <f t="shared" si="53"/>
        <v>9077.0300000000007</v>
      </c>
      <c r="K94" s="500"/>
      <c r="L94" s="500"/>
      <c r="M94" s="500"/>
      <c r="N94" s="500"/>
      <c r="O94" s="500"/>
      <c r="P94" s="500"/>
      <c r="Q94" s="500"/>
      <c r="R94" s="500"/>
    </row>
    <row r="95" spans="1:18" x14ac:dyDescent="0.3">
      <c r="A95" s="524" t="s">
        <v>84</v>
      </c>
      <c r="B95" s="660">
        <f t="shared" si="52"/>
        <v>76957.512000000002</v>
      </c>
      <c r="C95" s="660">
        <f t="shared" si="52"/>
        <v>48732.909999999996</v>
      </c>
      <c r="D95" s="661">
        <f t="shared" si="52"/>
        <v>28224.6</v>
      </c>
      <c r="E95" s="500"/>
      <c r="F95" s="500"/>
      <c r="G95" s="500"/>
      <c r="H95" s="525">
        <f t="shared" si="53"/>
        <v>76957.512000000002</v>
      </c>
      <c r="I95" s="660">
        <f t="shared" si="53"/>
        <v>48732.909999999996</v>
      </c>
      <c r="J95" s="661">
        <f t="shared" si="53"/>
        <v>28224.6</v>
      </c>
      <c r="K95" s="500"/>
      <c r="L95" s="500"/>
      <c r="M95" s="500"/>
      <c r="N95" s="500"/>
      <c r="O95" s="500"/>
      <c r="P95" s="500"/>
      <c r="Q95" s="500"/>
      <c r="R95" s="500"/>
    </row>
    <row r="96" spans="1:18" ht="15" thickBot="1" x14ac:dyDescent="0.35">
      <c r="A96" s="662" t="s">
        <v>476</v>
      </c>
      <c r="B96" s="663">
        <f t="shared" si="52"/>
        <v>2786.16</v>
      </c>
      <c r="C96" s="663">
        <f t="shared" si="52"/>
        <v>1720.7600000000002</v>
      </c>
      <c r="D96" s="664">
        <f t="shared" si="52"/>
        <v>1065.4000000000001</v>
      </c>
      <c r="E96" s="500"/>
      <c r="F96" s="500"/>
      <c r="G96" s="500"/>
      <c r="H96" s="528">
        <f t="shared" si="53"/>
        <v>2786.16</v>
      </c>
      <c r="I96" s="663">
        <f t="shared" si="53"/>
        <v>1720.7600000000002</v>
      </c>
      <c r="J96" s="664">
        <f t="shared" si="53"/>
        <v>1065.4000000000001</v>
      </c>
      <c r="K96" s="500"/>
      <c r="L96" s="500"/>
      <c r="M96" s="500"/>
      <c r="N96" s="500"/>
      <c r="O96" s="500"/>
      <c r="P96" s="500"/>
      <c r="Q96" s="500"/>
      <c r="R96" s="500"/>
    </row>
    <row r="97" spans="1:18" ht="15" thickBot="1" x14ac:dyDescent="0.35">
      <c r="A97" s="535" t="s">
        <v>486</v>
      </c>
      <c r="B97" s="665">
        <f t="shared" si="52"/>
        <v>442705.84160319995</v>
      </c>
      <c r="C97" s="665">
        <f t="shared" si="52"/>
        <v>273797.46000000002</v>
      </c>
      <c r="D97" s="666">
        <f t="shared" si="52"/>
        <v>168908.37</v>
      </c>
      <c r="E97" s="500"/>
      <c r="F97" s="500"/>
      <c r="G97" s="500"/>
      <c r="H97" s="530">
        <f t="shared" si="53"/>
        <v>459205.23287519999</v>
      </c>
      <c r="I97" s="665">
        <f t="shared" si="53"/>
        <v>284534.40000000002</v>
      </c>
      <c r="J97" s="666">
        <f t="shared" si="53"/>
        <v>174670.84999999998</v>
      </c>
      <c r="K97" s="500"/>
      <c r="L97" s="500"/>
      <c r="M97" s="500"/>
      <c r="N97" s="500"/>
      <c r="O97" s="500"/>
      <c r="P97" s="500"/>
      <c r="Q97" s="500"/>
      <c r="R97" s="500"/>
    </row>
    <row r="98" spans="1:18" x14ac:dyDescent="0.3">
      <c r="A98" s="500"/>
      <c r="B98" s="500">
        <f>+B97-(SUM(B91:B96))</f>
        <v>0</v>
      </c>
      <c r="C98" s="500">
        <f t="shared" ref="C98:D98" si="54">+C97-(SUM(C91:C96))</f>
        <v>0</v>
      </c>
      <c r="D98" s="500">
        <f t="shared" si="54"/>
        <v>0</v>
      </c>
      <c r="E98" s="500"/>
      <c r="F98" s="500"/>
      <c r="G98" s="500"/>
      <c r="H98" s="500"/>
      <c r="I98" s="500"/>
      <c r="J98" s="500"/>
      <c r="K98" s="500"/>
      <c r="L98" s="500"/>
      <c r="M98" s="500"/>
      <c r="N98" s="500"/>
      <c r="O98" s="500"/>
      <c r="P98" s="500"/>
      <c r="Q98" s="500"/>
      <c r="R98" s="500"/>
    </row>
    <row r="99" spans="1:18" x14ac:dyDescent="0.3">
      <c r="A99" s="500"/>
      <c r="B99" s="500"/>
      <c r="C99" s="500"/>
      <c r="D99" s="500"/>
      <c r="E99" s="500"/>
      <c r="F99" s="500"/>
      <c r="G99" s="500"/>
      <c r="H99" s="500"/>
      <c r="I99" s="500"/>
      <c r="J99" s="500"/>
      <c r="K99" s="500"/>
      <c r="L99" s="500"/>
      <c r="M99" s="500"/>
      <c r="N99" s="500"/>
      <c r="O99" s="500"/>
      <c r="P99" s="500"/>
      <c r="Q99" s="500"/>
      <c r="R99" s="500"/>
    </row>
    <row r="100" spans="1:18" x14ac:dyDescent="0.3">
      <c r="A100" s="500"/>
      <c r="B100" s="500"/>
      <c r="C100" s="500"/>
      <c r="D100" s="500"/>
      <c r="E100" s="500"/>
      <c r="F100" s="500"/>
      <c r="G100" s="500"/>
      <c r="H100" s="500"/>
      <c r="I100" s="500"/>
      <c r="J100" s="500"/>
      <c r="K100" s="500"/>
      <c r="L100" s="500"/>
      <c r="M100" s="500"/>
      <c r="N100" s="500"/>
      <c r="O100" s="500"/>
      <c r="P100" s="500"/>
      <c r="Q100" s="500"/>
      <c r="R100" s="500"/>
    </row>
    <row r="101" spans="1:18" x14ac:dyDescent="0.3">
      <c r="A101" s="500"/>
      <c r="B101" s="500"/>
      <c r="C101" s="500"/>
      <c r="D101" s="500"/>
      <c r="E101" s="500"/>
      <c r="F101" s="500"/>
      <c r="G101" s="500"/>
      <c r="H101" s="500"/>
      <c r="I101" s="500"/>
      <c r="J101" s="500"/>
      <c r="K101" s="500"/>
      <c r="L101" s="500"/>
      <c r="M101" s="500"/>
      <c r="N101" s="500"/>
      <c r="O101" s="500"/>
      <c r="P101" s="500"/>
      <c r="Q101" s="500"/>
      <c r="R101" s="500"/>
    </row>
    <row r="102" spans="1:18" x14ac:dyDescent="0.3">
      <c r="A102" s="500" t="s">
        <v>80</v>
      </c>
      <c r="B102" s="500" t="s">
        <v>34</v>
      </c>
      <c r="C102" s="500" t="s">
        <v>35</v>
      </c>
      <c r="D102" s="500" t="s">
        <v>36</v>
      </c>
      <c r="E102" s="500"/>
      <c r="F102" s="500"/>
      <c r="G102" s="500"/>
      <c r="H102" s="500"/>
      <c r="I102" s="500"/>
      <c r="J102" s="500"/>
      <c r="K102" s="500"/>
      <c r="L102" s="500"/>
      <c r="M102" s="500"/>
      <c r="N102" s="500"/>
      <c r="O102" s="500"/>
      <c r="P102" s="500"/>
      <c r="Q102" s="500"/>
      <c r="R102" s="500"/>
    </row>
    <row r="103" spans="1:18" x14ac:dyDescent="0.3">
      <c r="A103" s="500"/>
      <c r="B103" s="500"/>
      <c r="C103" s="500"/>
      <c r="D103" s="500"/>
      <c r="E103" s="500"/>
      <c r="F103" s="500"/>
      <c r="G103" s="500"/>
      <c r="H103" s="500"/>
      <c r="I103" s="500"/>
      <c r="J103" s="500"/>
      <c r="K103" s="500"/>
      <c r="L103" s="500"/>
      <c r="M103" s="500"/>
      <c r="N103" s="500"/>
      <c r="O103" s="500"/>
      <c r="P103" s="500"/>
      <c r="Q103" s="500"/>
      <c r="R103" s="500"/>
    </row>
    <row r="104" spans="1:18" x14ac:dyDescent="0.3">
      <c r="A104" s="500" t="s">
        <v>484</v>
      </c>
      <c r="B104" s="522">
        <v>232011.2</v>
      </c>
      <c r="C104" s="522">
        <v>142359.81</v>
      </c>
      <c r="D104" s="522">
        <v>89019.07</v>
      </c>
      <c r="E104" s="500"/>
      <c r="F104" s="500"/>
      <c r="G104" s="500"/>
      <c r="H104" s="500"/>
      <c r="I104" s="500"/>
      <c r="J104" s="500"/>
      <c r="K104" s="500"/>
      <c r="L104" s="500"/>
      <c r="M104" s="500"/>
      <c r="N104" s="500"/>
      <c r="O104" s="500"/>
      <c r="P104" s="500"/>
      <c r="Q104" s="500"/>
      <c r="R104" s="500"/>
    </row>
    <row r="105" spans="1:18" x14ac:dyDescent="0.3">
      <c r="A105" s="500" t="s">
        <v>83</v>
      </c>
      <c r="B105" s="522">
        <v>20673.120000000003</v>
      </c>
      <c r="C105" s="522">
        <v>11489.53</v>
      </c>
      <c r="D105" s="522">
        <v>9107.7100000000009</v>
      </c>
      <c r="E105" s="500"/>
      <c r="F105" s="500"/>
      <c r="G105" s="500"/>
      <c r="H105" s="500"/>
      <c r="I105" s="500"/>
      <c r="J105" s="500"/>
      <c r="K105" s="500"/>
      <c r="L105" s="500"/>
      <c r="M105" s="500"/>
      <c r="N105" s="500"/>
      <c r="O105" s="500"/>
      <c r="P105" s="500"/>
      <c r="Q105" s="500"/>
      <c r="R105" s="500"/>
    </row>
    <row r="106" spans="1:18" x14ac:dyDescent="0.3">
      <c r="A106" s="500" t="s">
        <v>485</v>
      </c>
      <c r="B106" s="522">
        <v>252684.32</v>
      </c>
      <c r="C106" s="522">
        <v>153849.34</v>
      </c>
      <c r="D106" s="522">
        <v>98126.780000000013</v>
      </c>
      <c r="E106" s="500"/>
      <c r="F106" s="500"/>
      <c r="G106" s="500"/>
      <c r="H106" s="500"/>
      <c r="I106" s="500"/>
      <c r="J106" s="500"/>
      <c r="K106" s="500"/>
      <c r="L106" s="500"/>
      <c r="M106" s="500"/>
      <c r="N106" s="500"/>
      <c r="O106" s="500"/>
      <c r="P106" s="500"/>
      <c r="Q106" s="500"/>
      <c r="R106" s="500"/>
    </row>
    <row r="107" spans="1:18" x14ac:dyDescent="0.3">
      <c r="A107" s="500" t="s">
        <v>477</v>
      </c>
      <c r="B107" s="522">
        <v>18856.050479999998</v>
      </c>
      <c r="C107" s="522">
        <v>11769.48</v>
      </c>
      <c r="D107" s="522">
        <v>7032.4000000000005</v>
      </c>
      <c r="E107" s="500"/>
      <c r="F107" s="500"/>
      <c r="G107" s="500"/>
      <c r="H107" s="500"/>
      <c r="I107" s="500"/>
      <c r="J107" s="500"/>
      <c r="K107" s="500"/>
      <c r="L107" s="500"/>
      <c r="M107" s="500"/>
      <c r="N107" s="500"/>
      <c r="O107" s="500"/>
      <c r="P107" s="500"/>
      <c r="Q107" s="500"/>
      <c r="R107" s="500"/>
    </row>
    <row r="108" spans="1:18" x14ac:dyDescent="0.3">
      <c r="A108" s="500" t="s">
        <v>472</v>
      </c>
      <c r="B108" s="522">
        <v>19330.350479999997</v>
      </c>
      <c r="C108" s="522">
        <v>11769.48</v>
      </c>
      <c r="D108" s="522">
        <v>7506.7000000000007</v>
      </c>
      <c r="E108" s="500"/>
      <c r="F108" s="500"/>
      <c r="G108" s="500"/>
      <c r="H108" s="500"/>
      <c r="I108" s="500"/>
      <c r="J108" s="500"/>
      <c r="K108" s="500"/>
      <c r="L108" s="500"/>
      <c r="M108" s="500"/>
      <c r="N108" s="500"/>
      <c r="O108" s="500"/>
      <c r="P108" s="500"/>
      <c r="Q108" s="500"/>
      <c r="R108" s="500"/>
    </row>
    <row r="109" spans="1:18" x14ac:dyDescent="0.3">
      <c r="A109" s="500" t="s">
        <v>474</v>
      </c>
      <c r="B109" s="522">
        <v>18615.28</v>
      </c>
      <c r="C109" s="522">
        <v>11415.07</v>
      </c>
      <c r="D109" s="522">
        <v>7108.5300000000007</v>
      </c>
      <c r="E109" s="500"/>
      <c r="F109" s="500"/>
      <c r="G109" s="500"/>
      <c r="H109" s="500"/>
      <c r="I109" s="500"/>
      <c r="J109" s="500"/>
      <c r="K109" s="500"/>
      <c r="L109" s="500"/>
      <c r="M109" s="500"/>
      <c r="N109" s="500"/>
      <c r="O109" s="500"/>
      <c r="P109" s="500"/>
      <c r="Q109" s="500"/>
      <c r="R109" s="500"/>
    </row>
    <row r="110" spans="1:18" x14ac:dyDescent="0.3">
      <c r="A110" s="500" t="s">
        <v>487</v>
      </c>
      <c r="B110" s="522">
        <v>101327.82999999999</v>
      </c>
      <c r="C110" s="522">
        <v>60142.64</v>
      </c>
      <c r="D110" s="522">
        <v>40777.280000000006</v>
      </c>
      <c r="E110" s="500"/>
      <c r="F110" s="500"/>
      <c r="G110" s="500"/>
      <c r="H110" s="500"/>
      <c r="I110" s="500"/>
      <c r="J110" s="500"/>
      <c r="K110" s="500"/>
      <c r="L110" s="500"/>
      <c r="M110" s="500"/>
      <c r="N110" s="500"/>
      <c r="O110" s="500"/>
      <c r="P110" s="500"/>
      <c r="Q110" s="500"/>
      <c r="R110" s="500"/>
    </row>
    <row r="111" spans="1:18" x14ac:dyDescent="0.3">
      <c r="A111" s="500" t="s">
        <v>476</v>
      </c>
      <c r="B111" s="522">
        <v>3279.64</v>
      </c>
      <c r="C111" s="522">
        <v>2070.1999999999998</v>
      </c>
      <c r="D111" s="522">
        <v>1198.77</v>
      </c>
      <c r="E111" s="500"/>
      <c r="F111" s="500"/>
      <c r="G111" s="500"/>
      <c r="H111" s="500"/>
      <c r="I111" s="500"/>
      <c r="J111" s="500"/>
      <c r="K111" s="500"/>
      <c r="L111" s="500"/>
      <c r="M111" s="500"/>
      <c r="N111" s="500"/>
      <c r="O111" s="500"/>
      <c r="P111" s="500"/>
      <c r="Q111" s="500"/>
      <c r="R111" s="500"/>
    </row>
    <row r="112" spans="1:18" x14ac:dyDescent="0.3">
      <c r="A112" s="500" t="s">
        <v>486</v>
      </c>
      <c r="B112" s="522">
        <v>414093.47096000001</v>
      </c>
      <c r="C112" s="522">
        <v>251016.21000000002</v>
      </c>
      <c r="D112" s="522">
        <v>161750.46</v>
      </c>
      <c r="E112" s="500"/>
      <c r="F112" s="500"/>
      <c r="G112" s="500"/>
      <c r="H112" s="500"/>
      <c r="I112" s="500"/>
      <c r="J112" s="500"/>
      <c r="K112" s="500"/>
      <c r="L112" s="500"/>
      <c r="M112" s="500"/>
      <c r="N112" s="500"/>
      <c r="O112" s="500"/>
      <c r="P112" s="500"/>
      <c r="Q112" s="500"/>
      <c r="R112" s="500"/>
    </row>
    <row r="113" spans="1:18" x14ac:dyDescent="0.3">
      <c r="A113" s="500"/>
      <c r="B113" s="500">
        <v>0</v>
      </c>
      <c r="C113" s="500">
        <v>0</v>
      </c>
      <c r="D113" s="500">
        <v>0</v>
      </c>
      <c r="E113" s="500"/>
      <c r="F113" s="500"/>
      <c r="G113" s="500"/>
      <c r="H113" s="500"/>
      <c r="I113" s="500"/>
      <c r="J113" s="500"/>
      <c r="K113" s="500"/>
      <c r="L113" s="500"/>
      <c r="M113" s="500"/>
      <c r="N113" s="500"/>
      <c r="O113" s="500"/>
      <c r="P113" s="500"/>
      <c r="Q113" s="500"/>
      <c r="R113" s="500"/>
    </row>
    <row r="114" spans="1:18" x14ac:dyDescent="0.3">
      <c r="A114" s="500" t="s">
        <v>488</v>
      </c>
      <c r="B114" s="522">
        <v>106394.22149999999</v>
      </c>
      <c r="C114" s="522">
        <v>63149.772000000004</v>
      </c>
      <c r="D114" s="522">
        <v>42816.144000000008</v>
      </c>
      <c r="E114" s="500"/>
      <c r="F114" s="500"/>
      <c r="G114" s="500"/>
      <c r="H114" s="500"/>
      <c r="I114" s="500"/>
      <c r="J114" s="500"/>
      <c r="K114" s="500"/>
      <c r="L114" s="500"/>
      <c r="M114" s="500"/>
      <c r="N114" s="500"/>
      <c r="O114" s="500"/>
      <c r="P114" s="500"/>
      <c r="Q114" s="500"/>
      <c r="R114" s="500"/>
    </row>
    <row r="115" spans="1:18" x14ac:dyDescent="0.3">
      <c r="A115" s="500"/>
      <c r="B115" s="500"/>
      <c r="C115" s="500"/>
      <c r="D115" s="500"/>
      <c r="E115" s="500"/>
      <c r="F115" s="500"/>
      <c r="G115" s="500"/>
      <c r="H115" s="500"/>
      <c r="I115" s="500"/>
      <c r="J115" s="500"/>
      <c r="K115" s="500"/>
      <c r="L115" s="500"/>
      <c r="M115" s="500"/>
      <c r="N115" s="500"/>
      <c r="O115" s="500"/>
      <c r="P115" s="500"/>
      <c r="Q115" s="500"/>
      <c r="R115" s="500"/>
    </row>
    <row r="116" spans="1:18" x14ac:dyDescent="0.3">
      <c r="A116" s="500"/>
      <c r="B116" s="500"/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  <c r="M116" s="500"/>
      <c r="N116" s="500"/>
      <c r="O116" s="500"/>
      <c r="P116" s="500"/>
      <c r="Q116" s="500"/>
      <c r="R116" s="500"/>
    </row>
    <row r="117" spans="1:18" x14ac:dyDescent="0.3">
      <c r="A117" s="500" t="s">
        <v>484</v>
      </c>
      <c r="B117" s="522">
        <f t="shared" ref="B117:D126" si="55">B89-B104</f>
        <v>29197.503999999957</v>
      </c>
      <c r="C117" s="522">
        <f t="shared" si="55"/>
        <v>19020.99000000002</v>
      </c>
      <c r="D117" s="522">
        <f t="shared" si="55"/>
        <v>10808.839999999997</v>
      </c>
      <c r="E117" s="500"/>
      <c r="F117" s="500"/>
      <c r="G117" s="500"/>
      <c r="H117" s="500"/>
      <c r="I117" s="500"/>
      <c r="J117" s="500"/>
      <c r="K117" s="500"/>
      <c r="L117" s="500"/>
      <c r="M117" s="500"/>
      <c r="N117" s="500"/>
      <c r="O117" s="500"/>
      <c r="P117" s="500"/>
      <c r="Q117" s="500"/>
      <c r="R117" s="500"/>
    </row>
    <row r="118" spans="1:18" x14ac:dyDescent="0.3">
      <c r="A118" s="500" t="s">
        <v>83</v>
      </c>
      <c r="B118" s="522">
        <f t="shared" si="55"/>
        <v>3542.4479999999967</v>
      </c>
      <c r="C118" s="522">
        <f t="shared" si="55"/>
        <v>2332</v>
      </c>
      <c r="D118" s="522">
        <f t="shared" si="55"/>
        <v>1286.3199999999997</v>
      </c>
      <c r="E118" s="500"/>
      <c r="F118" s="500"/>
      <c r="G118" s="500"/>
      <c r="H118" s="500"/>
      <c r="I118" s="500"/>
      <c r="J118" s="500"/>
      <c r="K118" s="500"/>
      <c r="L118" s="500"/>
      <c r="M118" s="500"/>
      <c r="N118" s="500"/>
      <c r="O118" s="500"/>
      <c r="P118" s="500"/>
      <c r="Q118" s="500"/>
      <c r="R118" s="500"/>
    </row>
    <row r="119" spans="1:18" x14ac:dyDescent="0.3">
      <c r="A119" s="500" t="s">
        <v>485</v>
      </c>
      <c r="B119" s="522">
        <f t="shared" si="55"/>
        <v>32739.95199999999</v>
      </c>
      <c r="C119" s="522">
        <f t="shared" si="55"/>
        <v>21352.99000000002</v>
      </c>
      <c r="D119" s="522">
        <f t="shared" si="55"/>
        <v>12095.159999999989</v>
      </c>
      <c r="E119" s="500"/>
      <c r="F119" s="500"/>
      <c r="G119" s="500"/>
      <c r="H119" s="500"/>
      <c r="I119" s="500"/>
      <c r="J119" s="500"/>
      <c r="K119" s="500"/>
      <c r="L119" s="500"/>
      <c r="M119" s="500"/>
      <c r="N119" s="500"/>
      <c r="O119" s="500"/>
      <c r="P119" s="500"/>
      <c r="Q119" s="500"/>
      <c r="R119" s="500"/>
    </row>
    <row r="120" spans="1:18" x14ac:dyDescent="0.3">
      <c r="A120" s="500" t="s">
        <v>477</v>
      </c>
      <c r="B120" s="522">
        <f t="shared" si="55"/>
        <v>14387.6503152</v>
      </c>
      <c r="C120" s="522">
        <f t="shared" si="55"/>
        <v>9097.119999999999</v>
      </c>
      <c r="D120" s="522">
        <f t="shared" si="55"/>
        <v>5344.7</v>
      </c>
      <c r="E120" s="500"/>
      <c r="F120" s="500"/>
      <c r="G120" s="500"/>
      <c r="H120" s="500"/>
      <c r="I120" s="500"/>
      <c r="J120" s="500"/>
      <c r="K120" s="500"/>
      <c r="L120" s="500"/>
      <c r="M120" s="500"/>
      <c r="N120" s="500"/>
      <c r="O120" s="500"/>
      <c r="P120" s="500"/>
      <c r="Q120" s="500"/>
      <c r="R120" s="500"/>
    </row>
    <row r="121" spans="1:18" x14ac:dyDescent="0.3">
      <c r="A121" s="500" t="s">
        <v>472</v>
      </c>
      <c r="B121" s="522">
        <f t="shared" si="55"/>
        <v>2504.6063280000017</v>
      </c>
      <c r="C121" s="522">
        <f t="shared" si="55"/>
        <v>1633.4899999999998</v>
      </c>
      <c r="D121" s="522">
        <f t="shared" si="55"/>
        <v>925.27999999999884</v>
      </c>
      <c r="E121" s="500"/>
      <c r="F121" s="500"/>
      <c r="G121" s="500"/>
      <c r="H121" s="500"/>
      <c r="I121" s="500"/>
      <c r="J121" s="500"/>
      <c r="K121" s="500"/>
      <c r="L121" s="500"/>
      <c r="M121" s="500"/>
      <c r="N121" s="500"/>
      <c r="O121" s="500"/>
      <c r="P121" s="500"/>
      <c r="Q121" s="500"/>
      <c r="R121" s="500"/>
    </row>
    <row r="122" spans="1:18" x14ac:dyDescent="0.3">
      <c r="A122" s="500" t="s">
        <v>474</v>
      </c>
      <c r="B122" s="522">
        <f t="shared" si="55"/>
        <v>3843.9599999999991</v>
      </c>
      <c r="C122" s="522">
        <f t="shared" si="55"/>
        <v>2456.8199999999997</v>
      </c>
      <c r="D122" s="522">
        <f t="shared" si="55"/>
        <v>1478.8199999999997</v>
      </c>
      <c r="E122" s="500"/>
      <c r="F122" s="500"/>
      <c r="G122" s="500"/>
      <c r="H122" s="500"/>
      <c r="I122" s="500"/>
      <c r="J122" s="500"/>
      <c r="K122" s="500"/>
      <c r="L122" s="500"/>
      <c r="M122" s="500"/>
      <c r="N122" s="500"/>
      <c r="O122" s="500"/>
      <c r="P122" s="500"/>
      <c r="Q122" s="500"/>
      <c r="R122" s="500"/>
    </row>
    <row r="123" spans="1:18" x14ac:dyDescent="0.3">
      <c r="A123" s="500" t="s">
        <v>84</v>
      </c>
      <c r="B123" s="522">
        <f t="shared" si="55"/>
        <v>-24370.317999999985</v>
      </c>
      <c r="C123" s="522">
        <f t="shared" si="55"/>
        <v>-11409.730000000003</v>
      </c>
      <c r="D123" s="522">
        <f t="shared" si="55"/>
        <v>-12552.680000000008</v>
      </c>
      <c r="E123" s="500"/>
      <c r="F123" s="500"/>
      <c r="G123" s="500"/>
      <c r="H123" s="500"/>
      <c r="I123" s="500"/>
      <c r="J123" s="500"/>
      <c r="K123" s="500"/>
      <c r="L123" s="500"/>
      <c r="M123" s="500"/>
      <c r="N123" s="500"/>
      <c r="O123" s="500"/>
      <c r="P123" s="500"/>
      <c r="Q123" s="500"/>
      <c r="R123" s="500"/>
    </row>
    <row r="124" spans="1:18" x14ac:dyDescent="0.3">
      <c r="A124" s="500" t="s">
        <v>476</v>
      </c>
      <c r="B124" s="500">
        <f t="shared" si="55"/>
        <v>-493.48</v>
      </c>
      <c r="C124" s="522">
        <f t="shared" si="55"/>
        <v>-349.4399999999996</v>
      </c>
      <c r="D124" s="522">
        <f t="shared" si="55"/>
        <v>-133.36999999999989</v>
      </c>
      <c r="E124" s="500"/>
      <c r="F124" s="500"/>
      <c r="G124" s="500"/>
      <c r="H124" s="500"/>
      <c r="I124" s="500"/>
      <c r="J124" s="500"/>
      <c r="K124" s="500"/>
      <c r="L124" s="500"/>
      <c r="M124" s="500"/>
      <c r="N124" s="500"/>
      <c r="O124" s="500"/>
      <c r="P124" s="500"/>
      <c r="Q124" s="500"/>
      <c r="R124" s="500"/>
    </row>
    <row r="125" spans="1:18" x14ac:dyDescent="0.3">
      <c r="A125" s="536" t="s">
        <v>486</v>
      </c>
      <c r="B125" s="537">
        <f t="shared" si="55"/>
        <v>28612.370643199945</v>
      </c>
      <c r="C125" s="537">
        <f t="shared" si="55"/>
        <v>22781.25</v>
      </c>
      <c r="D125" s="537">
        <f t="shared" si="55"/>
        <v>7157.9100000000035</v>
      </c>
      <c r="E125" s="500"/>
      <c r="F125" s="500"/>
      <c r="G125" s="500"/>
      <c r="H125" s="500"/>
      <c r="I125" s="500"/>
      <c r="J125" s="500"/>
      <c r="K125" s="500"/>
      <c r="L125" s="500"/>
      <c r="M125" s="500"/>
      <c r="N125" s="500"/>
      <c r="O125" s="500"/>
      <c r="P125" s="500"/>
      <c r="Q125" s="500"/>
      <c r="R125" s="500"/>
    </row>
    <row r="126" spans="1:18" x14ac:dyDescent="0.3">
      <c r="A126" s="500"/>
      <c r="B126" s="500">
        <f t="shared" si="55"/>
        <v>0</v>
      </c>
      <c r="C126" s="500">
        <f t="shared" si="55"/>
        <v>0</v>
      </c>
      <c r="D126" s="500">
        <f t="shared" si="55"/>
        <v>0</v>
      </c>
      <c r="E126" s="500"/>
      <c r="F126" s="500"/>
      <c r="G126" s="500"/>
      <c r="H126" s="500"/>
      <c r="I126" s="500"/>
      <c r="J126" s="500"/>
      <c r="K126" s="500"/>
      <c r="L126" s="500"/>
      <c r="M126" s="500"/>
      <c r="N126" s="500"/>
      <c r="O126" s="500"/>
      <c r="P126" s="500"/>
      <c r="Q126" s="500"/>
      <c r="R126" s="500"/>
    </row>
    <row r="127" spans="1:18" x14ac:dyDescent="0.3">
      <c r="A127" s="500"/>
      <c r="B127" s="500"/>
      <c r="C127" s="500"/>
      <c r="D127" s="500"/>
      <c r="E127" s="500"/>
      <c r="F127" s="500"/>
      <c r="G127" s="500"/>
      <c r="H127" s="500"/>
      <c r="I127" s="500"/>
      <c r="J127" s="500"/>
      <c r="K127" s="500"/>
      <c r="L127" s="500"/>
      <c r="M127" s="500"/>
      <c r="N127" s="500"/>
      <c r="O127" s="500"/>
      <c r="P127" s="500"/>
      <c r="Q127" s="500"/>
      <c r="R127" s="500"/>
    </row>
    <row r="128" spans="1:18" x14ac:dyDescent="0.3">
      <c r="A128" s="500"/>
      <c r="B128" s="500"/>
      <c r="C128" s="500"/>
      <c r="D128" s="500"/>
      <c r="E128" s="500"/>
      <c r="F128" s="500"/>
      <c r="G128" s="500"/>
      <c r="H128" s="500"/>
      <c r="I128" s="500"/>
      <c r="J128" s="500"/>
      <c r="K128" s="500"/>
      <c r="L128" s="500"/>
      <c r="M128" s="500"/>
      <c r="N128" s="500"/>
      <c r="O128" s="500"/>
      <c r="P128" s="500"/>
      <c r="Q128" s="500"/>
      <c r="R128" s="500"/>
    </row>
    <row r="129" spans="1:18" x14ac:dyDescent="0.3">
      <c r="A129" s="500"/>
      <c r="B129" s="500"/>
      <c r="C129" s="500"/>
      <c r="D129" s="500"/>
      <c r="E129" s="500"/>
      <c r="F129" s="500"/>
      <c r="G129" s="500"/>
      <c r="H129" s="500"/>
      <c r="I129" s="500"/>
      <c r="J129" s="500"/>
      <c r="K129" s="500"/>
      <c r="L129" s="500"/>
      <c r="M129" s="500"/>
      <c r="N129" s="500"/>
      <c r="O129" s="500"/>
      <c r="P129" s="500"/>
      <c r="Q129" s="500"/>
      <c r="R129" s="500"/>
    </row>
    <row r="130" spans="1:18" x14ac:dyDescent="0.3">
      <c r="A130" s="500"/>
      <c r="B130" s="500"/>
      <c r="C130" s="500"/>
      <c r="D130" s="500"/>
      <c r="E130" s="500"/>
      <c r="F130" s="500"/>
      <c r="G130" s="500"/>
      <c r="H130" s="500"/>
      <c r="I130" s="500"/>
      <c r="J130" s="500"/>
      <c r="K130" s="500"/>
      <c r="L130" s="500"/>
      <c r="M130" s="500"/>
      <c r="N130" s="500"/>
      <c r="O130" s="500"/>
      <c r="P130" s="500"/>
      <c r="Q130" s="500"/>
      <c r="R130" s="500"/>
    </row>
    <row r="131" spans="1:18" x14ac:dyDescent="0.3">
      <c r="A131" s="500"/>
      <c r="B131" s="500"/>
      <c r="C131" s="500"/>
      <c r="D131" s="500"/>
      <c r="E131" s="500"/>
      <c r="F131" s="500"/>
      <c r="G131" s="500"/>
      <c r="H131" s="500"/>
      <c r="I131" s="500"/>
      <c r="J131" s="500"/>
      <c r="K131" s="500"/>
      <c r="L131" s="500"/>
      <c r="M131" s="500"/>
      <c r="N131" s="500"/>
      <c r="O131" s="500"/>
      <c r="P131" s="500"/>
      <c r="Q131" s="500"/>
      <c r="R131" s="500"/>
    </row>
    <row r="132" spans="1:18" x14ac:dyDescent="0.3">
      <c r="A132" s="500"/>
      <c r="B132" s="500"/>
      <c r="C132" s="500"/>
      <c r="D132" s="500"/>
      <c r="E132" s="500"/>
      <c r="F132" s="500"/>
      <c r="G132" s="500"/>
      <c r="H132" s="500"/>
      <c r="I132" s="500"/>
      <c r="J132" s="500"/>
      <c r="K132" s="500"/>
      <c r="L132" s="500"/>
      <c r="M132" s="500"/>
      <c r="N132" s="500"/>
      <c r="O132" s="500"/>
      <c r="P132" s="500"/>
      <c r="Q132" s="500"/>
      <c r="R132" s="500"/>
    </row>
    <row r="133" spans="1:18" x14ac:dyDescent="0.3">
      <c r="A133" s="500"/>
      <c r="B133" s="500"/>
      <c r="C133" s="500"/>
      <c r="D133" s="500"/>
      <c r="E133" s="500"/>
      <c r="F133" s="500"/>
      <c r="G133" s="500"/>
      <c r="H133" s="500"/>
      <c r="I133" s="500"/>
      <c r="J133" s="500"/>
      <c r="K133" s="500"/>
      <c r="L133" s="500"/>
      <c r="M133" s="500"/>
      <c r="N133" s="500"/>
      <c r="O133" s="500"/>
      <c r="P133" s="500"/>
      <c r="Q133" s="500"/>
      <c r="R133" s="500"/>
    </row>
    <row r="134" spans="1:18" x14ac:dyDescent="0.3">
      <c r="A134" s="500"/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N134" s="500"/>
      <c r="O134" s="500"/>
      <c r="P134" s="500"/>
      <c r="Q134" s="500"/>
      <c r="R134" s="500"/>
    </row>
    <row r="135" spans="1:18" x14ac:dyDescent="0.3">
      <c r="A135" s="500"/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N135" s="500"/>
      <c r="O135" s="500"/>
      <c r="P135" s="500"/>
      <c r="Q135" s="500"/>
      <c r="R135" s="500"/>
    </row>
    <row r="136" spans="1:18" x14ac:dyDescent="0.3">
      <c r="A136" s="500"/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N136" s="500"/>
      <c r="O136" s="500"/>
      <c r="P136" s="500"/>
      <c r="Q136" s="500"/>
      <c r="R136" s="500"/>
    </row>
    <row r="137" spans="1:18" x14ac:dyDescent="0.3">
      <c r="A137" s="500"/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</row>
    <row r="138" spans="1:18" x14ac:dyDescent="0.3">
      <c r="A138" s="500"/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</row>
    <row r="139" spans="1:18" x14ac:dyDescent="0.3">
      <c r="A139" s="500"/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</row>
    <row r="140" spans="1:18" x14ac:dyDescent="0.3">
      <c r="A140" s="500"/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</row>
    <row r="141" spans="1:18" x14ac:dyDescent="0.3">
      <c r="A141" s="500"/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</row>
    <row r="142" spans="1:18" x14ac:dyDescent="0.3">
      <c r="J142" s="500"/>
      <c r="K142" s="500"/>
    </row>
    <row r="143" spans="1:18" x14ac:dyDescent="0.3">
      <c r="J143" s="500"/>
      <c r="K143" s="500"/>
    </row>
    <row r="144" spans="1:18" x14ac:dyDescent="0.3">
      <c r="J144" s="500"/>
      <c r="K144" s="500"/>
    </row>
    <row r="145" spans="10:11" x14ac:dyDescent="0.3">
      <c r="J145" s="500"/>
      <c r="K145" s="500"/>
    </row>
    <row r="146" spans="10:11" x14ac:dyDescent="0.3">
      <c r="J146" s="500"/>
      <c r="K146" s="500"/>
    </row>
    <row r="147" spans="10:11" x14ac:dyDescent="0.3">
      <c r="J147" s="500"/>
      <c r="K147" s="500"/>
    </row>
    <row r="148" spans="10:11" x14ac:dyDescent="0.3">
      <c r="J148" s="500"/>
      <c r="K148" s="500"/>
    </row>
    <row r="149" spans="10:11" x14ac:dyDescent="0.3">
      <c r="J149" s="500"/>
      <c r="K149" s="500"/>
    </row>
    <row r="150" spans="10:11" x14ac:dyDescent="0.3">
      <c r="J150" s="500"/>
      <c r="K150" s="500"/>
    </row>
    <row r="151" spans="10:11" x14ac:dyDescent="0.3">
      <c r="J151" s="500"/>
      <c r="K151" s="500"/>
    </row>
    <row r="152" spans="10:11" x14ac:dyDescent="0.3">
      <c r="J152" s="500"/>
      <c r="K152" s="500"/>
    </row>
  </sheetData>
  <mergeCells count="31">
    <mergeCell ref="H1:J1"/>
    <mergeCell ref="B1:D1"/>
    <mergeCell ref="H87:H88"/>
    <mergeCell ref="I87:I88"/>
    <mergeCell ref="J87:J88"/>
    <mergeCell ref="C87:C88"/>
    <mergeCell ref="D87:D88"/>
    <mergeCell ref="H51:H52"/>
    <mergeCell ref="H63:H64"/>
    <mergeCell ref="H75:H76"/>
    <mergeCell ref="H39:H40"/>
    <mergeCell ref="A87:A88"/>
    <mergeCell ref="B87:B88"/>
    <mergeCell ref="A39:A40"/>
    <mergeCell ref="B39:B40"/>
    <mergeCell ref="A51:A52"/>
    <mergeCell ref="B51:B52"/>
    <mergeCell ref="A63:A64"/>
    <mergeCell ref="B63:B64"/>
    <mergeCell ref="A75:A76"/>
    <mergeCell ref="B75:B76"/>
    <mergeCell ref="A27:A28"/>
    <mergeCell ref="B27:B28"/>
    <mergeCell ref="L3:R3"/>
    <mergeCell ref="H15:H16"/>
    <mergeCell ref="H27:H28"/>
    <mergeCell ref="H3:H4"/>
    <mergeCell ref="A3:A4"/>
    <mergeCell ref="B3:B4"/>
    <mergeCell ref="A15:A16"/>
    <mergeCell ref="B15:B16"/>
  </mergeCells>
  <pageMargins left="0.7" right="0.7" top="0.75" bottom="0.75" header="0.3" footer="0.3"/>
  <pageSetup paperSize="5" scale="62" fitToWidth="2" orientation="portrait" r:id="rId1"/>
  <ignoredErrors>
    <ignoredError sqref="C70:D70 B72:D72" evalError="1"/>
    <ignoredError sqref="Q9" formula="1"/>
    <ignoredError sqref="I72:J72 I60:J60 I48:J48 I36:J36 I24:J24 I12:J1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DD3619F8944A4BAB0B21C364828FDC" ma:contentTypeVersion="13" ma:contentTypeDescription="Create a new document." ma:contentTypeScope="" ma:versionID="20dd7df5b985a2104fba1f513615fe71">
  <xsd:schema xmlns:xsd="http://www.w3.org/2001/XMLSchema" xmlns:xs="http://www.w3.org/2001/XMLSchema" xmlns:p="http://schemas.microsoft.com/office/2006/metadata/properties" xmlns:ns3="0625462a-f5da-42ae-81c7-09ae1dfa4e49" xmlns:ns4="85ea195a-2a89-4a3c-aa1e-42ad0c168024" targetNamespace="http://schemas.microsoft.com/office/2006/metadata/properties" ma:root="true" ma:fieldsID="17478dbb42874c351336398b538c3113" ns3:_="" ns4:_="">
    <xsd:import namespace="0625462a-f5da-42ae-81c7-09ae1dfa4e49"/>
    <xsd:import namespace="85ea195a-2a89-4a3c-aa1e-42ad0c16802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25462a-f5da-42ae-81c7-09ae1dfa4e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a195a-2a89-4a3c-aa1e-42ad0c168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47963D-E56C-492F-8A13-993F7EC1435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281096-2DFB-426E-937B-13840E2369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72E6C-033B-4DAC-9CD6-E342A1679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25462a-f5da-42ae-81c7-09ae1dfa4e49"/>
    <ds:schemaRef ds:uri="85ea195a-2a89-4a3c-aa1e-42ad0c16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Budget Summary</vt:lpstr>
      <vt:lpstr>Wages</vt:lpstr>
      <vt:lpstr>Revenue</vt:lpstr>
      <vt:lpstr>Expenditures</vt:lpstr>
      <vt:lpstr>Water Fund</vt:lpstr>
      <vt:lpstr>Emp Wages</vt:lpstr>
      <vt:lpstr>Expenditures!Print_Area</vt:lpstr>
      <vt:lpstr>Revenue!Print_Area</vt:lpstr>
      <vt:lpstr>Wages!Print_Area</vt:lpstr>
      <vt:lpstr>'Water Fund'!Print_Area</vt:lpstr>
    </vt:vector>
  </TitlesOfParts>
  <Manager/>
  <Company>City of San Antonio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 Alley;Marissa Morales</dc:creator>
  <cp:keywords/>
  <dc:description/>
  <cp:lastModifiedBy>Marissa Morales</cp:lastModifiedBy>
  <cp:revision/>
  <dcterms:created xsi:type="dcterms:W3CDTF">2018-07-12T12:26:07Z</dcterms:created>
  <dcterms:modified xsi:type="dcterms:W3CDTF">2022-09-22T12:18:20Z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0x01010032DD3619F8944A4BAB0B21C364828FDC</vt:lpwstr>
  </property>
</Properties>
</file>